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0" windowWidth="15570" windowHeight="9690" tabRatio="942" firstSheet="1" activeTab="1"/>
  </bookViews>
  <sheets>
    <sheet name="Data for Bill Impacts" sheetId="3" state="hidden" r:id="rId1"/>
    <sheet name="BI_Res_Low2016" sheetId="4" r:id="rId2"/>
    <sheet name="BI_Res_Avg2016" sheetId="107" r:id="rId3"/>
    <sheet name="BI_Res_High2016" sheetId="108" r:id="rId4"/>
  </sheets>
  <definedNames>
    <definedName name="_xlnm.Print_Area" localSheetId="0">'Data for Bill Impacts'!$A$1:$AA$3</definedName>
  </definedNames>
  <calcPr calcId="145621"/>
</workbook>
</file>

<file path=xl/calcChain.xml><?xml version="1.0" encoding="utf-8"?>
<calcChain xmlns="http://schemas.openxmlformats.org/spreadsheetml/2006/main">
  <c r="B1" i="3" l="1"/>
  <c r="C1" i="3" s="1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F45" i="108" l="1"/>
  <c r="F42" i="108"/>
  <c r="F39" i="108"/>
  <c r="E39" i="108"/>
  <c r="G39" i="108" s="1"/>
  <c r="D39" i="108"/>
  <c r="C33" i="108"/>
  <c r="C32" i="108"/>
  <c r="F29" i="108"/>
  <c r="C29" i="108"/>
  <c r="C27" i="108"/>
  <c r="D27" i="108" s="1"/>
  <c r="C25" i="108"/>
  <c r="C24" i="108"/>
  <c r="C23" i="108"/>
  <c r="C22" i="108"/>
  <c r="E21" i="108"/>
  <c r="C21" i="108"/>
  <c r="D21" i="108" s="1"/>
  <c r="E20" i="108"/>
  <c r="E19" i="108"/>
  <c r="C19" i="108"/>
  <c r="D19" i="108" s="1"/>
  <c r="F17" i="108"/>
  <c r="B17" i="108"/>
  <c r="E17" i="108" s="1"/>
  <c r="F16" i="108"/>
  <c r="B16" i="108"/>
  <c r="E16" i="108" s="1"/>
  <c r="F15" i="108"/>
  <c r="B15" i="108"/>
  <c r="E15" i="108" s="1"/>
  <c r="F13" i="108"/>
  <c r="F12" i="108"/>
  <c r="B9" i="108"/>
  <c r="B22" i="108" s="1"/>
  <c r="E22" i="108" s="1"/>
  <c r="B7" i="108"/>
  <c r="C28" i="108" s="1"/>
  <c r="F28" i="108" s="1"/>
  <c r="B6" i="108"/>
  <c r="B8" i="108" s="1"/>
  <c r="B5" i="108"/>
  <c r="F45" i="107"/>
  <c r="F42" i="107"/>
  <c r="F39" i="107"/>
  <c r="E39" i="107"/>
  <c r="G39" i="107" s="1"/>
  <c r="D39" i="107"/>
  <c r="H39" i="107" s="1"/>
  <c r="I39" i="107" s="1"/>
  <c r="C33" i="107"/>
  <c r="C32" i="107"/>
  <c r="F29" i="107"/>
  <c r="C29" i="107"/>
  <c r="C27" i="107"/>
  <c r="D27" i="107" s="1"/>
  <c r="C25" i="107"/>
  <c r="C24" i="107"/>
  <c r="C23" i="107"/>
  <c r="C22" i="107"/>
  <c r="E21" i="107"/>
  <c r="C21" i="107"/>
  <c r="D21" i="107" s="1"/>
  <c r="E20" i="107"/>
  <c r="E19" i="107"/>
  <c r="C19" i="107"/>
  <c r="D19" i="107" s="1"/>
  <c r="F17" i="107"/>
  <c r="D17" i="107"/>
  <c r="B17" i="107"/>
  <c r="E17" i="107" s="1"/>
  <c r="G17" i="107" s="1"/>
  <c r="H17" i="107" s="1"/>
  <c r="I17" i="107" s="1"/>
  <c r="F16" i="107"/>
  <c r="E16" i="107"/>
  <c r="D16" i="107"/>
  <c r="B16" i="107"/>
  <c r="F15" i="107"/>
  <c r="E15" i="107"/>
  <c r="G15" i="107" s="1"/>
  <c r="D15" i="107"/>
  <c r="D18" i="107" s="1"/>
  <c r="B15" i="107"/>
  <c r="F13" i="107"/>
  <c r="F12" i="107"/>
  <c r="B9" i="107"/>
  <c r="B23" i="107" s="1"/>
  <c r="E23" i="107" s="1"/>
  <c r="B7" i="107"/>
  <c r="C28" i="107" s="1"/>
  <c r="F28" i="107" s="1"/>
  <c r="B6" i="107"/>
  <c r="B8" i="107" s="1"/>
  <c r="B32" i="107" s="1"/>
  <c r="E32" i="107" s="1"/>
  <c r="B5" i="107"/>
  <c r="D15" i="108" l="1"/>
  <c r="D17" i="108"/>
  <c r="B24" i="107"/>
  <c r="B25" i="107"/>
  <c r="E25" i="107" s="1"/>
  <c r="B12" i="107"/>
  <c r="D12" i="107" s="1"/>
  <c r="B24" i="108"/>
  <c r="E24" i="108" s="1"/>
  <c r="B25" i="108"/>
  <c r="E25" i="108" s="1"/>
  <c r="B13" i="108"/>
  <c r="B13" i="107"/>
  <c r="B23" i="108"/>
  <c r="E23" i="108" s="1"/>
  <c r="B22" i="107"/>
  <c r="B12" i="108"/>
  <c r="D12" i="108" s="1"/>
  <c r="D22" i="108"/>
  <c r="D16" i="108"/>
  <c r="D18" i="108" s="1"/>
  <c r="B38" i="108"/>
  <c r="B37" i="108"/>
  <c r="B32" i="108"/>
  <c r="B29" i="108"/>
  <c r="B33" i="108"/>
  <c r="H39" i="108"/>
  <c r="I39" i="108" s="1"/>
  <c r="G16" i="108"/>
  <c r="G15" i="108"/>
  <c r="G17" i="108"/>
  <c r="B28" i="108"/>
  <c r="B38" i="107"/>
  <c r="D23" i="107"/>
  <c r="B29" i="107"/>
  <c r="B33" i="107"/>
  <c r="B37" i="107"/>
  <c r="H15" i="107"/>
  <c r="I15" i="107" s="1"/>
  <c r="G16" i="107"/>
  <c r="D32" i="107"/>
  <c r="B28" i="107"/>
  <c r="F24" i="4"/>
  <c r="C33" i="4"/>
  <c r="C32" i="4"/>
  <c r="C27" i="4"/>
  <c r="C25" i="4"/>
  <c r="C24" i="4"/>
  <c r="C23" i="4"/>
  <c r="C22" i="4"/>
  <c r="C21" i="4"/>
  <c r="C20" i="4"/>
  <c r="C19" i="4"/>
  <c r="Z3" i="3"/>
  <c r="AA3" i="3"/>
  <c r="Y3" i="3"/>
  <c r="F25" i="4" s="1"/>
  <c r="X3" i="3"/>
  <c r="T3" i="3"/>
  <c r="S3" i="3"/>
  <c r="H3" i="3"/>
  <c r="F33" i="108" l="1"/>
  <c r="F33" i="107"/>
  <c r="H32" i="107"/>
  <c r="I32" i="107" s="1"/>
  <c r="F24" i="108"/>
  <c r="G24" i="108" s="1"/>
  <c r="F24" i="107"/>
  <c r="F33" i="4"/>
  <c r="F32" i="108"/>
  <c r="F32" i="107"/>
  <c r="G32" i="107" s="1"/>
  <c r="C20" i="108"/>
  <c r="D20" i="108" s="1"/>
  <c r="C20" i="107"/>
  <c r="D20" i="107" s="1"/>
  <c r="F25" i="108"/>
  <c r="G25" i="108" s="1"/>
  <c r="F25" i="107"/>
  <c r="G25" i="107" s="1"/>
  <c r="F32" i="4"/>
  <c r="D23" i="108"/>
  <c r="E12" i="107"/>
  <c r="G12" i="107" s="1"/>
  <c r="H12" i="107" s="1"/>
  <c r="I12" i="107" s="1"/>
  <c r="D25" i="107"/>
  <c r="F27" i="4"/>
  <c r="E12" i="108"/>
  <c r="G12" i="108" s="1"/>
  <c r="H12" i="108" s="1"/>
  <c r="I12" i="108" s="1"/>
  <c r="D24" i="108"/>
  <c r="E24" i="107"/>
  <c r="G24" i="107" s="1"/>
  <c r="D24" i="107"/>
  <c r="D25" i="108"/>
  <c r="F19" i="108"/>
  <c r="G19" i="108" s="1"/>
  <c r="F19" i="107"/>
  <c r="G19" i="107" s="1"/>
  <c r="F22" i="107"/>
  <c r="F22" i="108"/>
  <c r="G22" i="108" s="1"/>
  <c r="H22" i="108" s="1"/>
  <c r="I22" i="108" s="1"/>
  <c r="F22" i="4"/>
  <c r="F20" i="108"/>
  <c r="G20" i="108" s="1"/>
  <c r="H20" i="108" s="1"/>
  <c r="I20" i="108" s="1"/>
  <c r="F20" i="107"/>
  <c r="G20" i="107" s="1"/>
  <c r="H20" i="107" s="1"/>
  <c r="I20" i="107" s="1"/>
  <c r="F23" i="107"/>
  <c r="G23" i="107" s="1"/>
  <c r="H23" i="107" s="1"/>
  <c r="I23" i="107" s="1"/>
  <c r="F23" i="108"/>
  <c r="G23" i="108" s="1"/>
  <c r="H23" i="108" s="1"/>
  <c r="I23" i="108" s="1"/>
  <c r="F19" i="4"/>
  <c r="F23" i="4"/>
  <c r="D13" i="107"/>
  <c r="D14" i="107" s="1"/>
  <c r="E13" i="107"/>
  <c r="G13" i="107" s="1"/>
  <c r="F27" i="107"/>
  <c r="G27" i="107" s="1"/>
  <c r="H27" i="107" s="1"/>
  <c r="I27" i="107" s="1"/>
  <c r="F27" i="108"/>
  <c r="G27" i="108" s="1"/>
  <c r="H27" i="108" s="1"/>
  <c r="I27" i="108" s="1"/>
  <c r="F20" i="4"/>
  <c r="E22" i="107"/>
  <c r="D22" i="107"/>
  <c r="D13" i="108"/>
  <c r="D14" i="108" s="1"/>
  <c r="E13" i="108"/>
  <c r="G13" i="108" s="1"/>
  <c r="F21" i="108"/>
  <c r="G21" i="108" s="1"/>
  <c r="H21" i="108" s="1"/>
  <c r="I21" i="108" s="1"/>
  <c r="F21" i="107"/>
  <c r="G21" i="107" s="1"/>
  <c r="H21" i="107" s="1"/>
  <c r="I21" i="107" s="1"/>
  <c r="F21" i="4"/>
  <c r="G18" i="108"/>
  <c r="H15" i="108"/>
  <c r="I15" i="108" s="1"/>
  <c r="E33" i="108"/>
  <c r="G33" i="108" s="1"/>
  <c r="D33" i="108"/>
  <c r="D37" i="108"/>
  <c r="E37" i="108"/>
  <c r="G37" i="108" s="1"/>
  <c r="E28" i="108"/>
  <c r="G28" i="108" s="1"/>
  <c r="D28" i="108"/>
  <c r="H17" i="108"/>
  <c r="I17" i="108" s="1"/>
  <c r="H16" i="108"/>
  <c r="I16" i="108" s="1"/>
  <c r="E32" i="108"/>
  <c r="G32" i="108" s="1"/>
  <c r="D32" i="108"/>
  <c r="E29" i="108"/>
  <c r="G29" i="108" s="1"/>
  <c r="D29" i="108"/>
  <c r="D38" i="108"/>
  <c r="E38" i="108"/>
  <c r="G38" i="108" s="1"/>
  <c r="D37" i="107"/>
  <c r="E37" i="107"/>
  <c r="G37" i="107" s="1"/>
  <c r="H16" i="107"/>
  <c r="I16" i="107" s="1"/>
  <c r="E33" i="107"/>
  <c r="D33" i="107"/>
  <c r="D34" i="107" s="1"/>
  <c r="D38" i="107"/>
  <c r="E38" i="107"/>
  <c r="G38" i="107" s="1"/>
  <c r="E29" i="107"/>
  <c r="G29" i="107" s="1"/>
  <c r="D29" i="107"/>
  <c r="E28" i="107"/>
  <c r="G28" i="107" s="1"/>
  <c r="D28" i="107"/>
  <c r="G18" i="107"/>
  <c r="B17" i="4"/>
  <c r="B16" i="4"/>
  <c r="B15" i="4"/>
  <c r="H24" i="108" l="1"/>
  <c r="I24" i="108" s="1"/>
  <c r="G33" i="107"/>
  <c r="H33" i="107" s="1"/>
  <c r="I33" i="107" s="1"/>
  <c r="H25" i="107"/>
  <c r="I25" i="107" s="1"/>
  <c r="H25" i="108"/>
  <c r="I25" i="108" s="1"/>
  <c r="H24" i="107"/>
  <c r="I24" i="107" s="1"/>
  <c r="D26" i="107"/>
  <c r="D31" i="107" s="1"/>
  <c r="D36" i="107" s="1"/>
  <c r="D26" i="108"/>
  <c r="D30" i="108" s="1"/>
  <c r="H13" i="108"/>
  <c r="I13" i="108" s="1"/>
  <c r="H13" i="107"/>
  <c r="I13" i="107" s="1"/>
  <c r="G14" i="108"/>
  <c r="H14" i="108" s="1"/>
  <c r="I14" i="108" s="1"/>
  <c r="H19" i="107"/>
  <c r="I19" i="107" s="1"/>
  <c r="G14" i="107"/>
  <c r="H14" i="107" s="1"/>
  <c r="I14" i="107" s="1"/>
  <c r="G22" i="107"/>
  <c r="H22" i="107" s="1"/>
  <c r="I22" i="107" s="1"/>
  <c r="H19" i="108"/>
  <c r="I19" i="108" s="1"/>
  <c r="G26" i="108"/>
  <c r="G30" i="108" s="1"/>
  <c r="D34" i="108"/>
  <c r="D40" i="108"/>
  <c r="H18" i="108"/>
  <c r="I18" i="108" s="1"/>
  <c r="H38" i="108"/>
  <c r="I38" i="108" s="1"/>
  <c r="G34" i="108"/>
  <c r="H32" i="108"/>
  <c r="I32" i="108" s="1"/>
  <c r="H28" i="108"/>
  <c r="I28" i="108" s="1"/>
  <c r="H33" i="108"/>
  <c r="I33" i="108" s="1"/>
  <c r="G40" i="108"/>
  <c r="H37" i="108"/>
  <c r="I37" i="108" s="1"/>
  <c r="H29" i="108"/>
  <c r="I29" i="108" s="1"/>
  <c r="D40" i="107"/>
  <c r="G34" i="107"/>
  <c r="H28" i="107"/>
  <c r="I28" i="107" s="1"/>
  <c r="H29" i="107"/>
  <c r="I29" i="107" s="1"/>
  <c r="H18" i="107"/>
  <c r="I18" i="107" s="1"/>
  <c r="H38" i="107"/>
  <c r="I38" i="107" s="1"/>
  <c r="G40" i="107"/>
  <c r="H37" i="107"/>
  <c r="I37" i="107" s="1"/>
  <c r="D31" i="108" l="1"/>
  <c r="D41" i="107"/>
  <c r="D42" i="107" s="1"/>
  <c r="D43" i="107" s="1"/>
  <c r="D30" i="107"/>
  <c r="D35" i="107" s="1"/>
  <c r="G35" i="108"/>
  <c r="G41" i="108"/>
  <c r="G42" i="108" s="1"/>
  <c r="G26" i="107"/>
  <c r="H26" i="107" s="1"/>
  <c r="I26" i="107" s="1"/>
  <c r="G31" i="108"/>
  <c r="G36" i="108" s="1"/>
  <c r="H26" i="108"/>
  <c r="I26" i="108" s="1"/>
  <c r="D35" i="108"/>
  <c r="D44" i="108"/>
  <c r="D45" i="108" s="1"/>
  <c r="D46" i="108" s="1"/>
  <c r="D44" i="107"/>
  <c r="D45" i="107" s="1"/>
  <c r="D46" i="107" s="1"/>
  <c r="D41" i="108"/>
  <c r="D36" i="108"/>
  <c r="G44" i="108"/>
  <c r="G45" i="108" s="1"/>
  <c r="H40" i="108"/>
  <c r="I40" i="108" s="1"/>
  <c r="H34" i="108"/>
  <c r="I34" i="108" s="1"/>
  <c r="H30" i="108"/>
  <c r="I30" i="108" s="1"/>
  <c r="H40" i="107"/>
  <c r="I40" i="107" s="1"/>
  <c r="H34" i="107"/>
  <c r="I34" i="107" s="1"/>
  <c r="E21" i="4"/>
  <c r="G44" i="107" l="1"/>
  <c r="H44" i="107" s="1"/>
  <c r="I44" i="107" s="1"/>
  <c r="G41" i="107"/>
  <c r="G42" i="107" s="1"/>
  <c r="H42" i="107" s="1"/>
  <c r="I42" i="107" s="1"/>
  <c r="G30" i="107"/>
  <c r="G35" i="107" s="1"/>
  <c r="H35" i="107" s="1"/>
  <c r="I35" i="107" s="1"/>
  <c r="H31" i="108"/>
  <c r="I31" i="108" s="1"/>
  <c r="G31" i="107"/>
  <c r="H31" i="107" s="1"/>
  <c r="I31" i="107" s="1"/>
  <c r="H35" i="108"/>
  <c r="I35" i="108" s="1"/>
  <c r="H41" i="108"/>
  <c r="I41" i="108" s="1"/>
  <c r="H36" i="108"/>
  <c r="I36" i="108" s="1"/>
  <c r="H44" i="108"/>
  <c r="I44" i="108" s="1"/>
  <c r="D42" i="108"/>
  <c r="D43" i="108" s="1"/>
  <c r="H45" i="108"/>
  <c r="I45" i="108" s="1"/>
  <c r="G46" i="108"/>
  <c r="G43" i="108"/>
  <c r="G43" i="107"/>
  <c r="C29" i="4"/>
  <c r="G45" i="107" l="1"/>
  <c r="G36" i="107"/>
  <c r="H36" i="107" s="1"/>
  <c r="I36" i="107" s="1"/>
  <c r="H41" i="107"/>
  <c r="I41" i="107" s="1"/>
  <c r="H30" i="107"/>
  <c r="I30" i="107" s="1"/>
  <c r="H42" i="108"/>
  <c r="I42" i="108" s="1"/>
  <c r="J43" i="108"/>
  <c r="H43" i="108"/>
  <c r="I43" i="108" s="1"/>
  <c r="J19" i="108"/>
  <c r="J27" i="108"/>
  <c r="J39" i="108"/>
  <c r="J24" i="108"/>
  <c r="J23" i="108"/>
  <c r="J20" i="108"/>
  <c r="J25" i="108"/>
  <c r="J13" i="108"/>
  <c r="J22" i="108"/>
  <c r="J21" i="108"/>
  <c r="J26" i="108"/>
  <c r="J12" i="108"/>
  <c r="J18" i="108"/>
  <c r="J38" i="108"/>
  <c r="J29" i="108"/>
  <c r="J31" i="108"/>
  <c r="J33" i="108"/>
  <c r="J14" i="108"/>
  <c r="J37" i="108"/>
  <c r="J28" i="108"/>
  <c r="J32" i="108"/>
  <c r="J30" i="108"/>
  <c r="J36" i="108"/>
  <c r="J41" i="108"/>
  <c r="J40" i="108"/>
  <c r="J35" i="108"/>
  <c r="J34" i="108"/>
  <c r="K46" i="108"/>
  <c r="H46" i="108"/>
  <c r="K20" i="108"/>
  <c r="K21" i="108"/>
  <c r="K24" i="108"/>
  <c r="K19" i="108"/>
  <c r="K27" i="108"/>
  <c r="K39" i="108"/>
  <c r="K25" i="108"/>
  <c r="K22" i="108"/>
  <c r="K23" i="108"/>
  <c r="K26" i="108"/>
  <c r="K16" i="108"/>
  <c r="K17" i="108"/>
  <c r="K15" i="108"/>
  <c r="K33" i="108"/>
  <c r="K37" i="108"/>
  <c r="K18" i="108"/>
  <c r="K28" i="108"/>
  <c r="K31" i="108"/>
  <c r="K32" i="108"/>
  <c r="K30" i="108"/>
  <c r="K29" i="108"/>
  <c r="K38" i="108"/>
  <c r="K44" i="108"/>
  <c r="K40" i="108"/>
  <c r="K35" i="108"/>
  <c r="K34" i="108"/>
  <c r="K36" i="108"/>
  <c r="K45" i="108"/>
  <c r="J42" i="108"/>
  <c r="J43" i="107"/>
  <c r="H43" i="107"/>
  <c r="I43" i="107" s="1"/>
  <c r="J21" i="107"/>
  <c r="J19" i="107"/>
  <c r="J27" i="107"/>
  <c r="J39" i="107"/>
  <c r="J23" i="107"/>
  <c r="J25" i="107"/>
  <c r="J13" i="107"/>
  <c r="J32" i="107"/>
  <c r="J20" i="107"/>
  <c r="J12" i="107"/>
  <c r="J22" i="107"/>
  <c r="J26" i="107"/>
  <c r="J24" i="107"/>
  <c r="J33" i="107"/>
  <c r="J28" i="107"/>
  <c r="J29" i="107"/>
  <c r="J14" i="107"/>
  <c r="J18" i="107"/>
  <c r="J38" i="107"/>
  <c r="J37" i="107"/>
  <c r="J41" i="107"/>
  <c r="J30" i="107"/>
  <c r="J40" i="107"/>
  <c r="J31" i="107"/>
  <c r="J34" i="107"/>
  <c r="H45" i="107"/>
  <c r="I45" i="107" s="1"/>
  <c r="J42" i="107"/>
  <c r="G46" i="107"/>
  <c r="K45" i="107" s="1"/>
  <c r="J35" i="107"/>
  <c r="B9" i="4"/>
  <c r="D27" i="4"/>
  <c r="J36" i="107" l="1"/>
  <c r="I46" i="108"/>
  <c r="K46" i="107"/>
  <c r="H46" i="107"/>
  <c r="K17" i="107"/>
  <c r="K15" i="107"/>
  <c r="K20" i="107"/>
  <c r="K39" i="107"/>
  <c r="K25" i="107"/>
  <c r="K27" i="107"/>
  <c r="K19" i="107"/>
  <c r="K23" i="107"/>
  <c r="K32" i="107"/>
  <c r="K21" i="107"/>
  <c r="K24" i="107"/>
  <c r="K16" i="107"/>
  <c r="K26" i="107"/>
  <c r="K22" i="107"/>
  <c r="K38" i="107"/>
  <c r="K28" i="107"/>
  <c r="K33" i="107"/>
  <c r="K29" i="107"/>
  <c r="K18" i="107"/>
  <c r="K37" i="107"/>
  <c r="K30" i="107"/>
  <c r="K31" i="107"/>
  <c r="K34" i="107"/>
  <c r="K40" i="107"/>
  <c r="K44" i="107"/>
  <c r="K35" i="107"/>
  <c r="K36" i="107"/>
  <c r="B23" i="4"/>
  <c r="B24" i="4"/>
  <c r="B22" i="4"/>
  <c r="B25" i="4"/>
  <c r="I46" i="107" l="1"/>
  <c r="E24" i="4"/>
  <c r="G24" i="4" s="1"/>
  <c r="D24" i="4"/>
  <c r="B7" i="4"/>
  <c r="B6" i="4"/>
  <c r="B5" i="4"/>
  <c r="H24" i="4" l="1"/>
  <c r="I24" i="4" s="1"/>
  <c r="B13" i="4"/>
  <c r="B12" i="4"/>
  <c r="F29" i="4"/>
  <c r="C28" i="4"/>
  <c r="F28" i="4" s="1"/>
  <c r="E25" i="4"/>
  <c r="F45" i="4" l="1"/>
  <c r="F42" i="4"/>
  <c r="F39" i="4"/>
  <c r="E39" i="4"/>
  <c r="D39" i="4"/>
  <c r="E20" i="4"/>
  <c r="G20" i="4" s="1"/>
  <c r="D20" i="4"/>
  <c r="E19" i="4"/>
  <c r="F17" i="4"/>
  <c r="F16" i="4"/>
  <c r="F15" i="4"/>
  <c r="F13" i="4"/>
  <c r="F12" i="4"/>
  <c r="G39" i="4" l="1"/>
  <c r="H39" i="4" s="1"/>
  <c r="I39" i="4" s="1"/>
  <c r="E13" i="4"/>
  <c r="G13" i="4" s="1"/>
  <c r="D13" i="4"/>
  <c r="B8" i="4"/>
  <c r="H20" i="4"/>
  <c r="I20" i="4" s="1"/>
  <c r="B28" i="4" l="1"/>
  <c r="D28" i="4" s="1"/>
  <c r="B29" i="4"/>
  <c r="D15" i="4"/>
  <c r="E15" i="4"/>
  <c r="G15" i="4" s="1"/>
  <c r="E23" i="4"/>
  <c r="E16" i="4"/>
  <c r="G16" i="4" s="1"/>
  <c r="D16" i="4"/>
  <c r="E22" i="4"/>
  <c r="B38" i="4"/>
  <c r="B37" i="4"/>
  <c r="B33" i="4"/>
  <c r="B32" i="4"/>
  <c r="E17" i="4"/>
  <c r="G17" i="4" s="1"/>
  <c r="D17" i="4"/>
  <c r="E12" i="4"/>
  <c r="G12" i="4" s="1"/>
  <c r="D12" i="4"/>
  <c r="D14" i="4" s="1"/>
  <c r="H13" i="4"/>
  <c r="I13" i="4" s="1"/>
  <c r="E28" i="4" l="1"/>
  <c r="G28" i="4" s="1"/>
  <c r="D29" i="4"/>
  <c r="E29" i="4"/>
  <c r="G29" i="4" s="1"/>
  <c r="D18" i="4"/>
  <c r="E32" i="4"/>
  <c r="E37" i="4"/>
  <c r="G37" i="4" s="1"/>
  <c r="D37" i="4"/>
  <c r="G18" i="4"/>
  <c r="H15" i="4"/>
  <c r="I15" i="4" s="1"/>
  <c r="G14" i="4"/>
  <c r="H12" i="4"/>
  <c r="I12" i="4" s="1"/>
  <c r="H17" i="4"/>
  <c r="I17" i="4" s="1"/>
  <c r="D33" i="4"/>
  <c r="E33" i="4"/>
  <c r="E38" i="4"/>
  <c r="G38" i="4" s="1"/>
  <c r="D38" i="4"/>
  <c r="H16" i="4"/>
  <c r="I16" i="4" s="1"/>
  <c r="H28" i="4" l="1"/>
  <c r="I28" i="4" s="1"/>
  <c r="H29" i="4"/>
  <c r="I29" i="4" s="1"/>
  <c r="D40" i="4"/>
  <c r="H38" i="4"/>
  <c r="I38" i="4" s="1"/>
  <c r="H14" i="4"/>
  <c r="I14" i="4" s="1"/>
  <c r="H37" i="4"/>
  <c r="I37" i="4" s="1"/>
  <c r="G40" i="4"/>
  <c r="H18" i="4"/>
  <c r="I18" i="4" s="1"/>
  <c r="H40" i="4" l="1"/>
  <c r="I40" i="4" s="1"/>
  <c r="G33" i="4" l="1"/>
  <c r="H33" i="4" s="1"/>
  <c r="I33" i="4" s="1"/>
  <c r="G23" i="4" l="1"/>
  <c r="D23" i="4" l="1"/>
  <c r="H23" i="4" s="1"/>
  <c r="I23" i="4" s="1"/>
  <c r="D19" i="4" l="1"/>
  <c r="D21" i="4" l="1"/>
  <c r="D22" i="4"/>
  <c r="D32" i="4" l="1"/>
  <c r="D34" i="4" s="1"/>
  <c r="D25" i="4"/>
  <c r="D26" i="4" l="1"/>
  <c r="D41" i="4" l="1"/>
  <c r="D44" i="4"/>
  <c r="D31" i="4"/>
  <c r="D30" i="4"/>
  <c r="D42" i="4" l="1"/>
  <c r="D43" i="4" s="1"/>
  <c r="D45" i="4"/>
  <c r="D46" i="4" s="1"/>
  <c r="D36" i="4"/>
  <c r="D35" i="4"/>
  <c r="G32" i="4" l="1"/>
  <c r="G25" i="4"/>
  <c r="G34" i="4" l="1"/>
  <c r="H34" i="4" s="1"/>
  <c r="I34" i="4" s="1"/>
  <c r="H32" i="4"/>
  <c r="I32" i="4" s="1"/>
  <c r="H25" i="4"/>
  <c r="I25" i="4" s="1"/>
  <c r="G27" i="4" l="1"/>
  <c r="H27" i="4" s="1"/>
  <c r="I27" i="4" s="1"/>
  <c r="G19" i="4"/>
  <c r="H19" i="4" l="1"/>
  <c r="I19" i="4" s="1"/>
  <c r="G21" i="4" l="1"/>
  <c r="H21" i="4" s="1"/>
  <c r="I21" i="4" s="1"/>
  <c r="G22" i="4"/>
  <c r="H22" i="4" l="1"/>
  <c r="I22" i="4" s="1"/>
  <c r="G26" i="4"/>
  <c r="G41" i="4" l="1"/>
  <c r="G44" i="4"/>
  <c r="G31" i="4"/>
  <c r="H26" i="4"/>
  <c r="G30" i="4"/>
  <c r="H31" i="4" l="1"/>
  <c r="G36" i="4"/>
  <c r="G35" i="4"/>
  <c r="H30" i="4"/>
  <c r="I30" i="4" s="1"/>
  <c r="H44" i="4"/>
  <c r="I44" i="4" s="1"/>
  <c r="G45" i="4"/>
  <c r="G46" i="4" s="1"/>
  <c r="I26" i="4"/>
  <c r="H41" i="4"/>
  <c r="I41" i="4" s="1"/>
  <c r="G42" i="4"/>
  <c r="G43" i="4" s="1"/>
  <c r="I31" i="4" l="1"/>
  <c r="H45" i="4"/>
  <c r="I45" i="4" s="1"/>
  <c r="H35" i="4"/>
  <c r="I35" i="4" s="1"/>
  <c r="H42" i="4"/>
  <c r="I42" i="4" s="1"/>
  <c r="H36" i="4"/>
  <c r="I36" i="4" s="1"/>
  <c r="J24" i="4" l="1"/>
  <c r="K24" i="4"/>
  <c r="K46" i="4"/>
  <c r="K37" i="4"/>
  <c r="K34" i="4"/>
  <c r="H46" i="4"/>
  <c r="K39" i="4"/>
  <c r="K25" i="4"/>
  <c r="K33" i="4"/>
  <c r="K40" i="4"/>
  <c r="K18" i="4"/>
  <c r="K21" i="4"/>
  <c r="K17" i="4"/>
  <c r="K29" i="4"/>
  <c r="K16" i="4"/>
  <c r="K27" i="4"/>
  <c r="K15" i="4"/>
  <c r="K32" i="4"/>
  <c r="K23" i="4"/>
  <c r="K38" i="4"/>
  <c r="K20" i="4"/>
  <c r="K28" i="4"/>
  <c r="K19" i="4"/>
  <c r="K22" i="4"/>
  <c r="K26" i="4"/>
  <c r="K31" i="4"/>
  <c r="K30" i="4"/>
  <c r="K44" i="4"/>
  <c r="K45" i="4"/>
  <c r="K36" i="4"/>
  <c r="K35" i="4"/>
  <c r="J23" i="4"/>
  <c r="J20" i="4"/>
  <c r="H43" i="4"/>
  <c r="I43" i="4" s="1"/>
  <c r="J33" i="4"/>
  <c r="J39" i="4"/>
  <c r="J21" i="4"/>
  <c r="J25" i="4"/>
  <c r="J40" i="4"/>
  <c r="J43" i="4"/>
  <c r="J37" i="4"/>
  <c r="J13" i="4"/>
  <c r="J28" i="4"/>
  <c r="J14" i="4"/>
  <c r="J27" i="4"/>
  <c r="J18" i="4"/>
  <c r="J32" i="4"/>
  <c r="J38" i="4"/>
  <c r="J29" i="4"/>
  <c r="J34" i="4"/>
  <c r="J12" i="4"/>
  <c r="J19" i="4"/>
  <c r="J22" i="4"/>
  <c r="J26" i="4"/>
  <c r="J30" i="4"/>
  <c r="J41" i="4"/>
  <c r="J31" i="4"/>
  <c r="J36" i="4"/>
  <c r="J42" i="4"/>
  <c r="J35" i="4"/>
  <c r="I46" i="4" l="1"/>
</calcChain>
</file>

<file path=xl/sharedStrings.xml><?xml version="1.0" encoding="utf-8"?>
<sst xmlns="http://schemas.openxmlformats.org/spreadsheetml/2006/main" count="190" uniqueCount="77">
  <si>
    <t>Rate Class</t>
  </si>
  <si>
    <t>Loss Factor</t>
  </si>
  <si>
    <t>Commodity Threshold</t>
  </si>
  <si>
    <t>Peak (kW)</t>
  </si>
  <si>
    <t>Charge Determinant</t>
  </si>
  <si>
    <t>kWh</t>
  </si>
  <si>
    <t>Loss factor</t>
  </si>
  <si>
    <t>Charge determinant</t>
  </si>
  <si>
    <t>Volume</t>
  </si>
  <si>
    <t>Current Rate ($)</t>
  </si>
  <si>
    <t>Current Charge ($)</t>
  </si>
  <si>
    <t>Proposed Rate ($)</t>
  </si>
  <si>
    <t>Proposed Charge ($)</t>
  </si>
  <si>
    <t>Change ($)</t>
  </si>
  <si>
    <t>Change (%)</t>
  </si>
  <si>
    <t>% of Total Bill on RPP</t>
  </si>
  <si>
    <t>% of Total Bill on TOU</t>
  </si>
  <si>
    <t>Energy First Tier (kWh)</t>
  </si>
  <si>
    <t>Energy Second Tier (kWh)</t>
  </si>
  <si>
    <t>Sub-Total:  Energy (RPP)</t>
  </si>
  <si>
    <t>TOU-Off Peak</t>
  </si>
  <si>
    <t>TOU-Mid Peak</t>
  </si>
  <si>
    <t>TOU-On Peak</t>
  </si>
  <si>
    <t>Sub-Total:  Energy (TOU)</t>
  </si>
  <si>
    <t>Service Charge</t>
  </si>
  <si>
    <t>Distribution Volumetric Rate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</si>
  <si>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</si>
  <si>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</si>
  <si>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</si>
  <si>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</si>
  <si>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Administration Charge (if applicable)</t>
  </si>
  <si>
    <t>Sub-Total:  Regulatory</t>
  </si>
  <si>
    <r>
      <t xml:space="preserve">     </t>
    </r>
    <r>
      <rPr>
        <b/>
        <sz val="10"/>
        <rFont val="Arial"/>
        <family val="2"/>
      </rPr>
      <t>HST</t>
    </r>
  </si>
  <si>
    <t>Total Bill on TOU (before Taxes)</t>
  </si>
  <si>
    <t>Current Variable Charge ($/kWh or $/kW))</t>
  </si>
  <si>
    <t>Current Fixed Charge ($/month)</t>
  </si>
  <si>
    <t>Proposed Fixed Charge ($/month)</t>
  </si>
  <si>
    <t>Proposed RTSR-NW ($/kWh or $/kW)</t>
  </si>
  <si>
    <t>Current RTSR-NW ($/kWh or $/kW)</t>
  </si>
  <si>
    <t>Current RTSR-CONN ($/kWh or $/kW)</t>
  </si>
  <si>
    <t>Monthly Consumption (kWh)</t>
  </si>
  <si>
    <t>Avg Monthly Consumption (kWh)</t>
  </si>
  <si>
    <t>Avg Monthly Peak (kW)</t>
  </si>
  <si>
    <t>Sub-Total:  Distribution (excluding pass through)</t>
  </si>
  <si>
    <t>Smart Metering Entity Charge</t>
  </si>
  <si>
    <t>Line Losses on Cost of Power (based on TOU prices)</t>
  </si>
  <si>
    <t>Line Losses on Cost of Power (based on two-tier RPP prices)</t>
  </si>
  <si>
    <t xml:space="preserve">Sub-Total:  Retail Transmission </t>
  </si>
  <si>
    <t>Sub-Total:  Distribution (based on TOU prices)</t>
  </si>
  <si>
    <t>Sub-Total:  Distribution (based on two-tier RPP prices)</t>
  </si>
  <si>
    <t>Monthly Consumption (kWh) - Uplifted</t>
  </si>
  <si>
    <t>Sub-Total:  Delivery (based on two-tier RPP prices)</t>
  </si>
  <si>
    <t>Sub-Total:  Delivery (based on TOU prices)</t>
  </si>
  <si>
    <t>2016 Bill Impacts (Low Consumption Level)</t>
  </si>
  <si>
    <t>Total Bill on Two-Tier RPP (before Taxes)</t>
  </si>
  <si>
    <t>Rate Rider for Application of Tax Changes</t>
  </si>
  <si>
    <t>Proposed Variable Charge ($/kWh or $/kW))</t>
  </si>
  <si>
    <t>Proposed Smart Metering Entity Charge ($/month)</t>
  </si>
  <si>
    <t>Proposed Rate Rider Per Acquisition Agreement (Fixed)</t>
  </si>
  <si>
    <t>Proposed Rate Rider Per Acquisition Agreement (Variable)</t>
  </si>
  <si>
    <t>Proposed Low Voltage Vol Rate</t>
  </si>
  <si>
    <t>Proposed Rate Rider for Application of Tax Changes</t>
  </si>
  <si>
    <t>Proposed RTSR-CONN ($/kWh or $/kW)</t>
  </si>
  <si>
    <t>Residential</t>
  </si>
  <si>
    <t>Low Voltage Volumetric Rate</t>
  </si>
  <si>
    <t>Fixed Rate Rider per Acquisition Agreement</t>
  </si>
  <si>
    <t>Variable Rate Rider per Acquisition Agreement</t>
  </si>
  <si>
    <t>Total Bill on TOU (including HST)</t>
  </si>
  <si>
    <t>Total Bill on Two-Tier RPP (including HST)</t>
  </si>
  <si>
    <t>Current Smart Metering Entity Charge ($/month)</t>
  </si>
  <si>
    <t>Current Rate Rider Per Acquisition Agreement (Fixed)</t>
  </si>
  <si>
    <t>Current Rate Rider Per Acquisition Agreement (Variable)</t>
  </si>
  <si>
    <t>Current Rate Rider for Application of Tax Changes</t>
  </si>
  <si>
    <t>Current Low Voltage Vol Rate</t>
  </si>
  <si>
    <t>Smart Meter Rider</t>
  </si>
  <si>
    <t>Current Smart Meter Rider ($/month)</t>
  </si>
  <si>
    <t>Proposed Smart Meter Rider ($/month)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</si>
</sst>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00"/>
    <numFmt numFmtId="167" formatCode="#,##0.0000"/>
    <numFmt numFmtId="168" formatCode="0.00000000"/>
    <numFmt numFmtId="169" formatCode="_(&quot;$&quot;* #,##0_);_(&quot;$&quot;* \(#,##0\);_(&quot;$&quot;* &quot;-&quot;??_);_(@_)"/>
    <numFmt numFmtId="170" formatCode="#,##0.0_);\(#,##0.0\)"/>
    <numFmt numFmtId="171" formatCode="_(* #,##0.0_);_(* \(#,##0.0\);_(* &quot;-&quot;??_);_(@_)"/>
    <numFmt numFmtId="172" formatCode="#,##0.00000_);\(#,##0.00000\)"/>
    <numFmt numFmtId="173" formatCode="0.0\x"/>
    <numFmt numFmtId="174" formatCode="#,##0.000_);\(#,##0.000\)"/>
    <numFmt numFmtId="175" formatCode="#,##0;&quot;\&quot;&quot;\&quot;&quot;\&quot;&quot;\&quot;\(#,##0&quot;\&quot;&quot;\&quot;&quot;\&quot;&quot;\&quot;\)"/>
    <numFmt numFmtId="176" formatCode="&quot;\&quot;&quot;\&quot;&quot;\&quot;&quot;\&quot;\$#,##0.00;&quot;\&quot;&quot;\&quot;&quot;\&quot;&quot;\&quot;\(&quot;\&quot;&quot;\&quot;&quot;\&quot;&quot;\&quot;\$#,##0.00&quot;\&quot;&quot;\&quot;&quot;\&quot;&quot;\&quot;\)"/>
    <numFmt numFmtId="177" formatCode="&quot;\&quot;&quot;\&quot;&quot;\&quot;&quot;\&quot;\$#,##0;&quot;\&quot;&quot;\&quot;&quot;\&quot;&quot;\&quot;\(&quot;\&quot;&quot;\&quot;&quot;\&quot;&quot;\&quot;\$#,##0&quot;\&quot;&quot;\&quot;&quot;\&quot;&quot;\&quot;\)"/>
    <numFmt numFmtId="178" formatCode="_-&quot;$&quot;* #,##0.00_-;\-&quot;$&quot;* #,##0.00_-;_-&quot;$&quot;* &quot;-&quot;??_-;_-@_-"/>
    <numFmt numFmtId="179" formatCode="0.00\x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164" fontId="1" fillId="0" borderId="0"/>
    <xf numFmtId="164" fontId="1" fillId="0" borderId="0"/>
    <xf numFmtId="164" fontId="1" fillId="0" borderId="0"/>
    <xf numFmtId="169" fontId="5" fillId="0" borderId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6" fillId="0" borderId="0"/>
    <xf numFmtId="176" fontId="6" fillId="0" borderId="0"/>
    <xf numFmtId="177" fontId="6" fillId="0" borderId="0"/>
    <xf numFmtId="38" fontId="7" fillId="7" borderId="0" applyNumberFormat="0" applyBorder="0" applyAlignment="0" applyProtection="0"/>
    <xf numFmtId="0" fontId="8" fillId="0" borderId="14" applyNumberFormat="0" applyAlignment="0" applyProtection="0">
      <alignment horizontal="left" vertical="center"/>
    </xf>
    <xf numFmtId="0" fontId="8" fillId="0" borderId="13">
      <alignment horizontal="left" vertical="center"/>
    </xf>
    <xf numFmtId="10" fontId="7" fillId="8" borderId="1" applyNumberFormat="0" applyBorder="0" applyAlignment="0" applyProtection="0"/>
    <xf numFmtId="178" fontId="5" fillId="0" borderId="0"/>
    <xf numFmtId="166" fontId="1" fillId="0" borderId="0"/>
    <xf numFmtId="0" fontId="1" fillId="0" borderId="0"/>
    <xf numFmtId="7" fontId="6" fillId="0" borderId="0"/>
    <xf numFmtId="37" fontId="9" fillId="9" borderId="0">
      <alignment horizontal="right"/>
    </xf>
    <xf numFmtId="10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7">
      <alignment horizontal="center"/>
    </xf>
    <xf numFmtId="3" fontId="10" fillId="0" borderId="0" applyFont="0" applyFill="0" applyBorder="0" applyAlignment="0" applyProtection="0"/>
    <xf numFmtId="0" fontId="10" fillId="10" borderId="0" applyNumberFormat="0" applyFont="0" applyBorder="0" applyAlignment="0" applyProtection="0"/>
    <xf numFmtId="1" fontId="1" fillId="0" borderId="0"/>
    <xf numFmtId="0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179" fontId="1" fillId="0" borderId="0"/>
    <xf numFmtId="179" fontId="1" fillId="0" borderId="0"/>
    <xf numFmtId="179" fontId="1" fillId="0" borderId="0"/>
  </cellStyleXfs>
  <cellXfs count="11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0" xfId="0" applyNumberFormat="1"/>
    <xf numFmtId="0" fontId="2" fillId="0" borderId="1" xfId="0" applyFont="1" applyBorder="1"/>
    <xf numFmtId="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10" fontId="1" fillId="0" borderId="0" xfId="2" applyNumberFormat="1" applyFont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0" fontId="2" fillId="0" borderId="4" xfId="2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6" fontId="0" fillId="0" borderId="1" xfId="0" applyNumberFormat="1" applyBorder="1"/>
    <xf numFmtId="4" fontId="0" fillId="0" borderId="1" xfId="0" applyNumberFormat="1" applyBorder="1"/>
    <xf numFmtId="10" fontId="0" fillId="0" borderId="1" xfId="2" applyNumberFormat="1" applyFont="1" applyBorder="1"/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/>
    <xf numFmtId="4" fontId="0" fillId="3" borderId="1" xfId="0" applyNumberFormat="1" applyFill="1" applyBorder="1"/>
    <xf numFmtId="10" fontId="2" fillId="3" borderId="1" xfId="2" applyNumberFormat="1" applyFont="1" applyFill="1" applyBorder="1"/>
    <xf numFmtId="166" fontId="1" fillId="0" borderId="1" xfId="0" applyNumberFormat="1" applyFont="1" applyBorder="1"/>
    <xf numFmtId="4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/>
    <xf numFmtId="4" fontId="0" fillId="4" borderId="1" xfId="0" applyNumberFormat="1" applyFill="1" applyBorder="1"/>
    <xf numFmtId="10" fontId="1" fillId="4" borderId="1" xfId="2" applyNumberFormat="1" applyFont="1" applyFill="1" applyBorder="1"/>
    <xf numFmtId="10" fontId="2" fillId="4" borderId="1" xfId="2" applyNumberFormat="1" applyFont="1" applyFill="1" applyBorder="1"/>
    <xf numFmtId="167" fontId="0" fillId="0" borderId="1" xfId="0" applyNumberFormat="1" applyBorder="1"/>
    <xf numFmtId="4" fontId="2" fillId="0" borderId="1" xfId="0" applyNumberFormat="1" applyFont="1" applyBorder="1"/>
    <xf numFmtId="10" fontId="2" fillId="0" borderId="1" xfId="2" applyNumberFormat="1" applyFont="1" applyBorder="1"/>
    <xf numFmtId="0" fontId="2" fillId="3" borderId="5" xfId="0" applyFont="1" applyFill="1" applyBorder="1"/>
    <xf numFmtId="4" fontId="2" fillId="3" borderId="6" xfId="0" applyNumberFormat="1" applyFont="1" applyFill="1" applyBorder="1" applyAlignment="1">
      <alignment horizontal="center"/>
    </xf>
    <xf numFmtId="4" fontId="2" fillId="3" borderId="6" xfId="0" applyNumberFormat="1" applyFont="1" applyFill="1" applyBorder="1"/>
    <xf numFmtId="10" fontId="2" fillId="3" borderId="6" xfId="2" applyNumberFormat="1" applyFont="1" applyFill="1" applyBorder="1"/>
    <xf numFmtId="10" fontId="2" fillId="3" borderId="7" xfId="2" applyNumberFormat="1" applyFont="1" applyFill="1" applyBorder="1"/>
    <xf numFmtId="0" fontId="1" fillId="3" borderId="8" xfId="0" applyFont="1" applyFill="1" applyBorder="1"/>
    <xf numFmtId="4" fontId="0" fillId="3" borderId="1" xfId="0" applyNumberFormat="1" applyFill="1" applyBorder="1" applyAlignment="1">
      <alignment horizontal="center"/>
    </xf>
    <xf numFmtId="10" fontId="1" fillId="3" borderId="1" xfId="2" applyNumberFormat="1" applyFont="1" applyFill="1" applyBorder="1"/>
    <xf numFmtId="10" fontId="1" fillId="3" borderId="9" xfId="2" applyNumberFormat="1" applyFont="1" applyFill="1" applyBorder="1"/>
    <xf numFmtId="0" fontId="2" fillId="3" borderId="8" xfId="0" applyFont="1" applyFill="1" applyBorder="1"/>
    <xf numFmtId="0" fontId="2" fillId="3" borderId="10" xfId="0" applyFont="1" applyFill="1" applyBorder="1"/>
    <xf numFmtId="4" fontId="2" fillId="3" borderId="11" xfId="0" applyNumberFormat="1" applyFont="1" applyFill="1" applyBorder="1" applyAlignment="1">
      <alignment horizontal="center"/>
    </xf>
    <xf numFmtId="4" fontId="2" fillId="3" borderId="11" xfId="0" applyNumberFormat="1" applyFont="1" applyFill="1" applyBorder="1"/>
    <xf numFmtId="10" fontId="2" fillId="3" borderId="11" xfId="2" applyNumberFormat="1" applyFont="1" applyFill="1" applyBorder="1"/>
    <xf numFmtId="10" fontId="2" fillId="3" borderId="12" xfId="2" applyNumberFormat="1" applyFont="1" applyFill="1" applyBorder="1"/>
    <xf numFmtId="0" fontId="2" fillId="4" borderId="5" xfId="0" applyFont="1" applyFill="1" applyBorder="1"/>
    <xf numFmtId="4" fontId="2" fillId="4" borderId="6" xfId="0" applyNumberFormat="1" applyFont="1" applyFill="1" applyBorder="1" applyAlignment="1">
      <alignment horizontal="center"/>
    </xf>
    <xf numFmtId="4" fontId="2" fillId="4" borderId="6" xfId="0" applyNumberFormat="1" applyFont="1" applyFill="1" applyBorder="1"/>
    <xf numFmtId="10" fontId="2" fillId="4" borderId="6" xfId="2" applyNumberFormat="1" applyFont="1" applyFill="1" applyBorder="1"/>
    <xf numFmtId="10" fontId="2" fillId="4" borderId="7" xfId="2" applyNumberFormat="1" applyFont="1" applyFill="1" applyBorder="1"/>
    <xf numFmtId="0" fontId="1" fillId="4" borderId="8" xfId="0" applyFont="1" applyFill="1" applyBorder="1"/>
    <xf numFmtId="4" fontId="0" fillId="4" borderId="1" xfId="0" applyNumberFormat="1" applyFill="1" applyBorder="1" applyAlignment="1">
      <alignment horizontal="center"/>
    </xf>
    <xf numFmtId="10" fontId="1" fillId="4" borderId="9" xfId="2" applyNumberFormat="1" applyFont="1" applyFill="1" applyBorder="1"/>
    <xf numFmtId="0" fontId="2" fillId="4" borderId="8" xfId="0" applyFont="1" applyFill="1" applyBorder="1"/>
    <xf numFmtId="10" fontId="2" fillId="4" borderId="9" xfId="2" applyNumberFormat="1" applyFont="1" applyFill="1" applyBorder="1"/>
    <xf numFmtId="0" fontId="2" fillId="4" borderId="10" xfId="0" applyFont="1" applyFill="1" applyBorder="1"/>
    <xf numFmtId="4" fontId="2" fillId="4" borderId="11" xfId="0" applyNumberFormat="1" applyFont="1" applyFill="1" applyBorder="1" applyAlignment="1">
      <alignment horizontal="center"/>
    </xf>
    <xf numFmtId="4" fontId="2" fillId="4" borderId="11" xfId="0" applyNumberFormat="1" applyFont="1" applyFill="1" applyBorder="1"/>
    <xf numFmtId="10" fontId="2" fillId="4" borderId="11" xfId="2" applyNumberFormat="1" applyFont="1" applyFill="1" applyBorder="1"/>
    <xf numFmtId="10" fontId="2" fillId="4" borderId="12" xfId="2" applyNumberFormat="1" applyFont="1" applyFill="1" applyBorder="1"/>
    <xf numFmtId="165" fontId="0" fillId="0" borderId="0" xfId="0" applyNumberFormat="1"/>
    <xf numFmtId="10" fontId="0" fillId="0" borderId="0" xfId="2" applyNumberFormat="1" applyFont="1"/>
    <xf numFmtId="6" fontId="0" fillId="0" borderId="0" xfId="0" applyNumberFormat="1"/>
    <xf numFmtId="164" fontId="0" fillId="0" borderId="0" xfId="1" applyNumberFormat="1" applyFont="1"/>
    <xf numFmtId="168" fontId="0" fillId="0" borderId="0" xfId="0" applyNumberFormat="1"/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5" borderId="1" xfId="0" applyFill="1" applyBorder="1"/>
    <xf numFmtId="3" fontId="0" fillId="2" borderId="1" xfId="0" applyNumberFormat="1" applyFill="1" applyBorder="1"/>
    <xf numFmtId="165" fontId="0" fillId="0" borderId="1" xfId="0" applyNumberFormat="1" applyBorder="1"/>
    <xf numFmtId="0" fontId="0" fillId="0" borderId="5" xfId="0" applyBorder="1"/>
    <xf numFmtId="3" fontId="0" fillId="0" borderId="6" xfId="0" applyNumberFormat="1" applyBorder="1" applyAlignment="1">
      <alignment horizontal="center"/>
    </xf>
    <xf numFmtId="166" fontId="0" fillId="0" borderId="6" xfId="0" applyNumberFormat="1" applyBorder="1"/>
    <xf numFmtId="4" fontId="0" fillId="0" borderId="6" xfId="0" applyNumberFormat="1" applyBorder="1"/>
    <xf numFmtId="10" fontId="0" fillId="0" borderId="6" xfId="2" applyNumberFormat="1" applyFont="1" applyBorder="1"/>
    <xf numFmtId="10" fontId="1" fillId="0" borderId="7" xfId="2" applyNumberFormat="1" applyFont="1" applyBorder="1"/>
    <xf numFmtId="0" fontId="0" fillId="0" borderId="8" xfId="0" applyBorder="1"/>
    <xf numFmtId="10" fontId="1" fillId="0" borderId="9" xfId="2" applyNumberFormat="1" applyFont="1" applyBorder="1"/>
    <xf numFmtId="0" fontId="1" fillId="0" borderId="8" xfId="0" applyFont="1" applyBorder="1"/>
    <xf numFmtId="0" fontId="2" fillId="0" borderId="8" xfId="0" applyFont="1" applyBorder="1"/>
    <xf numFmtId="10" fontId="2" fillId="0" borderId="9" xfId="2" applyNumberFormat="1" applyFont="1" applyBorder="1"/>
    <xf numFmtId="3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2" fontId="0" fillId="5" borderId="1" xfId="0" applyNumberFormat="1" applyFill="1" applyBorder="1"/>
    <xf numFmtId="165" fontId="0" fillId="5" borderId="1" xfId="0" applyNumberFormat="1" applyFill="1" applyBorder="1"/>
    <xf numFmtId="0" fontId="0" fillId="6" borderId="1" xfId="0" applyFill="1" applyBorder="1"/>
    <xf numFmtId="0" fontId="2" fillId="11" borderId="1" xfId="0" applyFont="1" applyFill="1" applyBorder="1" applyAlignment="1">
      <alignment horizontal="center" vertical="center" wrapText="1"/>
    </xf>
    <xf numFmtId="165" fontId="0" fillId="11" borderId="1" xfId="0" applyNumberFormat="1" applyFill="1" applyBorder="1"/>
    <xf numFmtId="0" fontId="0" fillId="11" borderId="0" xfId="0" applyFill="1"/>
    <xf numFmtId="165" fontId="0" fillId="6" borderId="1" xfId="0" applyNumberFormat="1" applyFill="1" applyBorder="1"/>
    <xf numFmtId="0" fontId="0" fillId="0" borderId="8" xfId="0" applyFill="1" applyBorder="1"/>
    <xf numFmtId="0" fontId="0" fillId="0" borderId="8" xfId="0" applyFont="1" applyFill="1" applyBorder="1"/>
    <xf numFmtId="1" fontId="0" fillId="2" borderId="1" xfId="0" applyNumberFormat="1" applyFill="1" applyBorder="1"/>
    <xf numFmtId="164" fontId="0" fillId="2" borderId="1" xfId="1" applyNumberFormat="1" applyFont="1" applyFill="1" applyBorder="1"/>
    <xf numFmtId="0" fontId="0" fillId="0" borderId="0" xfId="0" applyAlignment="1">
      <alignment horizontal="center"/>
    </xf>
    <xf numFmtId="0" fontId="0" fillId="12" borderId="1" xfId="0" applyFill="1" applyBorder="1"/>
    <xf numFmtId="2" fontId="0" fillId="12" borderId="1" xfId="0" applyNumberFormat="1" applyFill="1" applyBorder="1"/>
    <xf numFmtId="165" fontId="0" fillId="12" borderId="1" xfId="0" applyNumberFormat="1" applyFill="1" applyBorder="1"/>
    <xf numFmtId="43" fontId="0" fillId="12" borderId="1" xfId="0" applyNumberFormat="1" applyFill="1" applyBorder="1"/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4">
    <cellStyle name="$" xfId="5"/>
    <cellStyle name="$_CCA-Request_H11bps" xfId="6"/>
    <cellStyle name="$_CCA-Request_H11bps July 9" xfId="7"/>
    <cellStyle name="$comma" xfId="8"/>
    <cellStyle name="_Comma" xfId="9"/>
    <cellStyle name="_Currency" xfId="10"/>
    <cellStyle name="_CurrencySpace" xfId="11"/>
    <cellStyle name="_Multiple" xfId="12"/>
    <cellStyle name="_MultipleSpace" xfId="13"/>
    <cellStyle name="_Percent" xfId="14"/>
    <cellStyle name="_PercentSpace" xfId="15"/>
    <cellStyle name="_PercentSpace_AR Analysis 061207" xfId="16"/>
    <cellStyle name="_PercentSpace_RMDx BP050513a 051212a" xfId="17"/>
    <cellStyle name="Comma" xfId="1" builtinId="3"/>
    <cellStyle name="comma zerodec" xfId="18"/>
    <cellStyle name="Currency1" xfId="19"/>
    <cellStyle name="Dollar (zero dec)" xfId="20"/>
    <cellStyle name="Grey" xfId="21"/>
    <cellStyle name="Header1" xfId="22"/>
    <cellStyle name="Header2" xfId="23"/>
    <cellStyle name="Input [yellow]" xfId="24"/>
    <cellStyle name="multiple" xfId="25"/>
    <cellStyle name="Normal" xfId="0" builtinId="0"/>
    <cellStyle name="Normal - Style1" xfId="26"/>
    <cellStyle name="Normal 2" xfId="3"/>
    <cellStyle name="Normal 3" xfId="4"/>
    <cellStyle name="Number" xfId="27"/>
    <cellStyle name="OH01" xfId="28"/>
    <cellStyle name="OHnplode" xfId="29"/>
    <cellStyle name="Percent [2]" xfId="30"/>
    <cellStyle name="Percent 2" xfId="2"/>
    <cellStyle name="PSChar" xfId="31"/>
    <cellStyle name="PSDate" xfId="32"/>
    <cellStyle name="PSDec" xfId="33"/>
    <cellStyle name="PSHeading" xfId="34"/>
    <cellStyle name="PSInt" xfId="35"/>
    <cellStyle name="PSSpacer" xfId="36"/>
    <cellStyle name="ShOut" xfId="37"/>
    <cellStyle name="Style 1" xfId="38"/>
    <cellStyle name="Style 2" xfId="39"/>
    <cellStyle name="Style 3" xfId="40"/>
    <cellStyle name="x" xfId="41"/>
    <cellStyle name="x_CCA-Request_H11bps" xfId="42"/>
    <cellStyle name="x_CCA-Request_H11bps July 9" xfId="43"/>
  </cellStyles>
  <dxfs count="0"/>
  <tableStyles count="0" defaultTableStyle="TableStyleMedium2" defaultPivotStyle="PivotStyleLight16"/>
  <colors>
    <mruColors>
      <color rgb="FFCCFFCC"/>
      <color rgb="FFFFCCCC"/>
      <color rgb="FFFFFFFF"/>
      <color rgb="FFFFCCFF"/>
      <color rgb="FFCCFF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85723</xdr:colOff>
      <xdr:row>3</xdr:row>
      <xdr:rowOff>66678</xdr:rowOff>
    </xdr:from>
    <xdr:to>
      <xdr:col>15</xdr:col>
      <xdr:colOff>504827</xdr:colOff>
      <xdr:row>6</xdr:row>
      <xdr:rowOff>104776</xdr:rowOff>
    </xdr:to>
    <xdr:sp macro="" textlink="">
      <xdr:nvSpPr>
        <xdr:cNvPr id="3" name="Right Brace 2"/>
        <xdr:cNvSpPr/>
      </xdr:nvSpPr>
      <xdr:spPr>
        <a:xfrm rot="5400000">
          <a:off x="8181976" y="-1571625"/>
          <a:ext cx="523873" cy="7038979"/>
        </a:xfrm>
        <a:prstGeom prst="rightBrace">
          <a:avLst>
            <a:gd name="adj1" fmla="val 0"/>
            <a:gd name="adj2" fmla="val 5494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95250</xdr:colOff>
      <xdr:row>3</xdr:row>
      <xdr:rowOff>57150</xdr:rowOff>
    </xdr:from>
    <xdr:to>
      <xdr:col>26</xdr:col>
      <xdr:colOff>638179</xdr:colOff>
      <xdr:row>6</xdr:row>
      <xdr:rowOff>95248</xdr:rowOff>
    </xdr:to>
    <xdr:sp macro="" textlink="">
      <xdr:nvSpPr>
        <xdr:cNvPr id="4" name="Right Brace 3"/>
        <xdr:cNvSpPr/>
      </xdr:nvSpPr>
      <xdr:spPr>
        <a:xfrm rot="5400000">
          <a:off x="15621003" y="-1581153"/>
          <a:ext cx="523873" cy="7038979"/>
        </a:xfrm>
        <a:prstGeom prst="rightBrace">
          <a:avLst>
            <a:gd name="adj1" fmla="val 0"/>
            <a:gd name="adj2" fmla="val 5494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3</xdr:row>
      <xdr:rowOff>57150</xdr:rowOff>
    </xdr:from>
    <xdr:to>
      <xdr:col>27</xdr:col>
      <xdr:colOff>0</xdr:colOff>
      <xdr:row>6</xdr:row>
      <xdr:rowOff>95248</xdr:rowOff>
    </xdr:to>
    <xdr:sp macro="" textlink="">
      <xdr:nvSpPr>
        <xdr:cNvPr id="5" name="Right Brace 4"/>
        <xdr:cNvSpPr/>
      </xdr:nvSpPr>
      <xdr:spPr>
        <a:xfrm rot="5400000">
          <a:off x="23060028" y="-1581153"/>
          <a:ext cx="523873" cy="7038979"/>
        </a:xfrm>
        <a:prstGeom prst="rightBrace">
          <a:avLst>
            <a:gd name="adj1" fmla="val 0"/>
            <a:gd name="adj2" fmla="val 5494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1</xdr:row>
      <xdr:rowOff>361948</xdr:rowOff>
    </xdr:to>
    <xdr:sp macro="" textlink="">
      <xdr:nvSpPr>
        <xdr:cNvPr id="6" name="Right Brace 5"/>
        <xdr:cNvSpPr/>
      </xdr:nvSpPr>
      <xdr:spPr>
        <a:xfrm rot="5400000">
          <a:off x="22755228" y="-3257553"/>
          <a:ext cx="523873" cy="7038979"/>
        </a:xfrm>
        <a:prstGeom prst="rightBrace">
          <a:avLst>
            <a:gd name="adj1" fmla="val 0"/>
            <a:gd name="adj2" fmla="val 5494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3</xdr:row>
      <xdr:rowOff>66675</xdr:rowOff>
    </xdr:from>
    <xdr:to>
      <xdr:col>27</xdr:col>
      <xdr:colOff>0</xdr:colOff>
      <xdr:row>6</xdr:row>
      <xdr:rowOff>104773</xdr:rowOff>
    </xdr:to>
    <xdr:sp macro="" textlink="">
      <xdr:nvSpPr>
        <xdr:cNvPr id="7" name="Right Brace 6"/>
        <xdr:cNvSpPr/>
      </xdr:nvSpPr>
      <xdr:spPr>
        <a:xfrm rot="5400000">
          <a:off x="30470478" y="-1571628"/>
          <a:ext cx="523873" cy="7038979"/>
        </a:xfrm>
        <a:prstGeom prst="rightBrace">
          <a:avLst>
            <a:gd name="adj1" fmla="val 0"/>
            <a:gd name="adj2" fmla="val 5494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27</xdr:col>
      <xdr:colOff>0</xdr:colOff>
      <xdr:row>3</xdr:row>
      <xdr:rowOff>57150</xdr:rowOff>
    </xdr:from>
    <xdr:to>
      <xdr:col>27</xdr:col>
      <xdr:colOff>0</xdr:colOff>
      <xdr:row>6</xdr:row>
      <xdr:rowOff>95248</xdr:rowOff>
    </xdr:to>
    <xdr:sp macro="" textlink="">
      <xdr:nvSpPr>
        <xdr:cNvPr id="8" name="Right Brace 7"/>
        <xdr:cNvSpPr/>
      </xdr:nvSpPr>
      <xdr:spPr>
        <a:xfrm rot="5400000">
          <a:off x="37919028" y="-1581153"/>
          <a:ext cx="523873" cy="7038979"/>
        </a:xfrm>
        <a:prstGeom prst="rightBrace">
          <a:avLst>
            <a:gd name="adj1" fmla="val 0"/>
            <a:gd name="adj2" fmla="val 5494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  <pageSetUpPr fitToPage="1"/>
  </sheetPr>
  <dimension ref="A1:AA1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" sqref="M2"/>
    </sheetView>
  </sheetViews>
  <sheetFormatPr defaultRowHeight="12.75" x14ac:dyDescent="0.2"/>
  <cols>
    <col min="1" max="1" width="18.42578125" bestFit="1" customWidth="1"/>
    <col min="3" max="3" width="12.5703125" customWidth="1"/>
    <col min="4" max="4" width="11.140625" customWidth="1"/>
    <col min="6" max="6" width="12.140625" customWidth="1"/>
    <col min="7" max="7" width="13.5703125" customWidth="1"/>
    <col min="9" max="9" width="10.7109375" customWidth="1"/>
    <col min="10" max="10" width="11.5703125" customWidth="1"/>
    <col min="11" max="13" width="11" customWidth="1"/>
    <col min="14" max="14" width="11.42578125" customWidth="1"/>
    <col min="15" max="15" width="9.85546875" customWidth="1"/>
    <col min="17" max="17" width="3" style="96" customWidth="1"/>
    <col min="18" max="19" width="10" customWidth="1"/>
    <col min="20" max="21" width="11" customWidth="1"/>
    <col min="22" max="22" width="13.85546875" bestFit="1" customWidth="1"/>
    <col min="23" max="24" width="10.7109375" customWidth="1"/>
    <col min="25" max="25" width="9.5703125" customWidth="1"/>
    <col min="26" max="26" width="10.5703125" customWidth="1"/>
    <col min="27" max="27" width="11" customWidth="1"/>
  </cols>
  <sheetData>
    <row r="1" spans="1:27" x14ac:dyDescent="0.2">
      <c r="A1" s="7">
        <v>1</v>
      </c>
      <c r="B1" s="7">
        <f>A1+1</f>
        <v>2</v>
      </c>
      <c r="C1" s="7">
        <f t="shared" ref="C1:AA1" si="0">B1+1</f>
        <v>3</v>
      </c>
      <c r="D1" s="7">
        <f t="shared" si="0"/>
        <v>4</v>
      </c>
      <c r="E1" s="7">
        <f t="shared" si="0"/>
        <v>5</v>
      </c>
      <c r="F1" s="7">
        <f t="shared" si="0"/>
        <v>6</v>
      </c>
      <c r="G1" s="7">
        <f t="shared" si="0"/>
        <v>7</v>
      </c>
      <c r="H1" s="7">
        <f t="shared" si="0"/>
        <v>8</v>
      </c>
      <c r="I1" s="7">
        <f t="shared" si="0"/>
        <v>9</v>
      </c>
      <c r="J1" s="7">
        <f t="shared" si="0"/>
        <v>10</v>
      </c>
      <c r="K1" s="7">
        <f t="shared" si="0"/>
        <v>11</v>
      </c>
      <c r="L1" s="7">
        <f t="shared" si="0"/>
        <v>12</v>
      </c>
      <c r="M1" s="7">
        <f t="shared" si="0"/>
        <v>13</v>
      </c>
      <c r="N1" s="7">
        <f t="shared" si="0"/>
        <v>14</v>
      </c>
      <c r="O1" s="7">
        <f t="shared" si="0"/>
        <v>15</v>
      </c>
      <c r="P1" s="7">
        <f t="shared" si="0"/>
        <v>16</v>
      </c>
      <c r="Q1" s="7">
        <f t="shared" si="0"/>
        <v>17</v>
      </c>
      <c r="R1" s="7">
        <f t="shared" si="0"/>
        <v>18</v>
      </c>
      <c r="S1" s="7">
        <f t="shared" si="0"/>
        <v>19</v>
      </c>
      <c r="T1" s="7">
        <f t="shared" si="0"/>
        <v>20</v>
      </c>
      <c r="U1" s="7">
        <f t="shared" si="0"/>
        <v>21</v>
      </c>
      <c r="V1" s="7">
        <f t="shared" si="0"/>
        <v>22</v>
      </c>
      <c r="W1" s="7">
        <f t="shared" si="0"/>
        <v>23</v>
      </c>
      <c r="X1" s="7">
        <f t="shared" si="0"/>
        <v>24</v>
      </c>
      <c r="Y1" s="7">
        <f t="shared" si="0"/>
        <v>25</v>
      </c>
      <c r="Z1" s="7">
        <f t="shared" si="0"/>
        <v>26</v>
      </c>
      <c r="AA1" s="7">
        <f t="shared" si="0"/>
        <v>27</v>
      </c>
    </row>
    <row r="2" spans="1:27" s="10" customFormat="1" ht="102" x14ac:dyDescent="0.2">
      <c r="A2" s="8" t="s">
        <v>0</v>
      </c>
      <c r="B2" s="8" t="s">
        <v>1</v>
      </c>
      <c r="C2" s="8" t="s">
        <v>41</v>
      </c>
      <c r="D2" s="8" t="s">
        <v>2</v>
      </c>
      <c r="E2" s="8" t="s">
        <v>42</v>
      </c>
      <c r="F2" s="9" t="s">
        <v>4</v>
      </c>
      <c r="G2" s="9" t="s">
        <v>35</v>
      </c>
      <c r="H2" s="9" t="s">
        <v>75</v>
      </c>
      <c r="I2" s="9" t="s">
        <v>69</v>
      </c>
      <c r="J2" s="8" t="s">
        <v>70</v>
      </c>
      <c r="K2" s="8" t="s">
        <v>34</v>
      </c>
      <c r="L2" s="8" t="s">
        <v>71</v>
      </c>
      <c r="M2" s="8" t="s">
        <v>73</v>
      </c>
      <c r="N2" s="8" t="s">
        <v>72</v>
      </c>
      <c r="O2" s="8" t="s">
        <v>38</v>
      </c>
      <c r="P2" s="8" t="s">
        <v>39</v>
      </c>
      <c r="Q2" s="94"/>
      <c r="R2" s="9" t="s">
        <v>36</v>
      </c>
      <c r="S2" s="9" t="s">
        <v>76</v>
      </c>
      <c r="T2" s="9" t="s">
        <v>57</v>
      </c>
      <c r="U2" s="8" t="s">
        <v>58</v>
      </c>
      <c r="V2" s="8" t="s">
        <v>56</v>
      </c>
      <c r="W2" s="8" t="s">
        <v>59</v>
      </c>
      <c r="X2" s="8" t="s">
        <v>60</v>
      </c>
      <c r="Y2" s="8" t="s">
        <v>61</v>
      </c>
      <c r="Z2" s="8" t="s">
        <v>37</v>
      </c>
      <c r="AA2" s="8" t="s">
        <v>62</v>
      </c>
    </row>
    <row r="3" spans="1:27" x14ac:dyDescent="0.2">
      <c r="A3" s="5" t="s">
        <v>63</v>
      </c>
      <c r="B3" s="77">
        <v>1.0564</v>
      </c>
      <c r="C3" s="6">
        <v>800</v>
      </c>
      <c r="D3" s="6">
        <v>600</v>
      </c>
      <c r="E3" s="2"/>
      <c r="F3" s="3" t="s">
        <v>5</v>
      </c>
      <c r="G3" s="103">
        <v>20.87</v>
      </c>
      <c r="H3" s="93">
        <f>0.1+0.93</f>
        <v>1.03</v>
      </c>
      <c r="I3" s="93">
        <v>0.79</v>
      </c>
      <c r="J3" s="104">
        <v>-0.31</v>
      </c>
      <c r="K3" s="105">
        <v>2.18E-2</v>
      </c>
      <c r="L3" s="105">
        <v>-2.9999999999999997E-4</v>
      </c>
      <c r="M3" s="97">
        <v>8.9999999999999998E-4</v>
      </c>
      <c r="N3" s="97">
        <v>2.0000000000000001E-4</v>
      </c>
      <c r="O3" s="97">
        <v>6.7000000000000002E-3</v>
      </c>
      <c r="P3" s="97">
        <v>3.2000000000000002E-3</v>
      </c>
      <c r="Q3" s="95"/>
      <c r="R3" s="106">
        <v>24.85</v>
      </c>
      <c r="S3" s="93">
        <f>H3</f>
        <v>1.03</v>
      </c>
      <c r="T3" s="93">
        <f>I3</f>
        <v>0.79</v>
      </c>
      <c r="U3" s="104">
        <v>-0.37</v>
      </c>
      <c r="V3" s="105">
        <v>1.6400000000000001E-2</v>
      </c>
      <c r="W3" s="105">
        <v>-2.0000000000000001E-4</v>
      </c>
      <c r="X3" s="97">
        <f>M3</f>
        <v>8.9999999999999998E-4</v>
      </c>
      <c r="Y3" s="97">
        <f>N3</f>
        <v>2.0000000000000001E-4</v>
      </c>
      <c r="Z3" s="97">
        <f t="shared" ref="Z3:AA3" si="1">O3</f>
        <v>6.7000000000000002E-3</v>
      </c>
      <c r="AA3" s="97">
        <f t="shared" si="1"/>
        <v>3.2000000000000002E-3</v>
      </c>
    </row>
    <row r="4" spans="1:27" x14ac:dyDescent="0.2">
      <c r="U4" s="4"/>
      <c r="V4" s="4"/>
      <c r="W4" s="4"/>
      <c r="X4" s="4"/>
      <c r="Y4" s="4"/>
    </row>
    <row r="5" spans="1:27" x14ac:dyDescent="0.2">
      <c r="U5" s="4"/>
      <c r="V5" s="4"/>
      <c r="W5" s="4"/>
      <c r="X5" s="4"/>
      <c r="Y5" s="4"/>
    </row>
    <row r="6" spans="1:27" x14ac:dyDescent="0.2">
      <c r="U6" s="4"/>
      <c r="V6" s="4"/>
      <c r="W6" s="4"/>
      <c r="X6" s="4"/>
      <c r="Y6" s="4"/>
    </row>
    <row r="7" spans="1:27" x14ac:dyDescent="0.2">
      <c r="U7" s="4"/>
      <c r="V7" s="4"/>
      <c r="W7" s="4"/>
      <c r="X7" s="4"/>
      <c r="Y7" s="4"/>
    </row>
    <row r="8" spans="1:27" x14ac:dyDescent="0.2">
      <c r="K8" s="102">
        <v>2015</v>
      </c>
      <c r="U8" s="4"/>
      <c r="V8" s="102">
        <v>2016</v>
      </c>
      <c r="W8" s="4"/>
      <c r="X8" s="4"/>
      <c r="Y8" s="4"/>
    </row>
    <row r="9" spans="1:27" x14ac:dyDescent="0.2">
      <c r="U9" s="4"/>
      <c r="V9" s="4"/>
      <c r="W9" s="4"/>
      <c r="X9" s="4"/>
      <c r="Y9" s="4"/>
    </row>
    <row r="10" spans="1:27" x14ac:dyDescent="0.2">
      <c r="U10" s="4"/>
      <c r="V10" s="4"/>
      <c r="W10" s="4"/>
      <c r="X10" s="4"/>
      <c r="Y10" s="4"/>
    </row>
    <row r="11" spans="1:27" x14ac:dyDescent="0.2">
      <c r="U11" s="4"/>
      <c r="V11" s="4"/>
      <c r="W11" s="4"/>
      <c r="X11" s="4"/>
      <c r="Y11" s="4"/>
    </row>
    <row r="12" spans="1:27" x14ac:dyDescent="0.2">
      <c r="U12" s="4"/>
      <c r="V12" s="4"/>
      <c r="W12" s="4"/>
      <c r="X12" s="4"/>
      <c r="Y12" s="4"/>
    </row>
    <row r="13" spans="1:27" x14ac:dyDescent="0.2">
      <c r="U13" s="4"/>
      <c r="V13" s="4"/>
      <c r="W13" s="4"/>
      <c r="X13" s="4"/>
      <c r="Y13" s="4"/>
    </row>
    <row r="14" spans="1:27" x14ac:dyDescent="0.2">
      <c r="U14" s="4"/>
      <c r="V14" s="4"/>
      <c r="W14" s="4"/>
      <c r="X14" s="4"/>
      <c r="Y14" s="4"/>
    </row>
  </sheetData>
  <pageMargins left="0.7" right="0.7" top="0.75" bottom="0.75" header="0.3" footer="0.3"/>
  <pageSetup paperSize="5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 tint="0.499984740745262"/>
  </sheetPr>
  <dimension ref="A1:K63"/>
  <sheetViews>
    <sheetView tabSelected="1" view="pageBreakPreview" zoomScale="85" zoomScaleNormal="85" zoomScaleSheetLayoutView="85" workbookViewId="0">
      <selection activeCell="A50" sqref="A50"/>
    </sheetView>
  </sheetViews>
  <sheetFormatPr defaultRowHeight="12.75" x14ac:dyDescent="0.2"/>
  <cols>
    <col min="1" max="1" width="63.28515625" customWidth="1"/>
    <col min="2" max="2" width="15.5703125" bestFit="1" customWidth="1"/>
    <col min="3" max="3" width="10.5703125" customWidth="1"/>
    <col min="4" max="4" width="10.5703125" bestFit="1" customWidth="1"/>
    <col min="5" max="5" width="10.42578125" customWidth="1"/>
    <col min="6" max="6" width="10.140625" customWidth="1"/>
    <col min="7" max="7" width="12.28515625" customWidth="1"/>
    <col min="8" max="8" width="10.85546875" bestFit="1" customWidth="1"/>
    <col min="9" max="9" width="11.140625" bestFit="1" customWidth="1"/>
    <col min="10" max="10" width="10.42578125" customWidth="1"/>
    <col min="11" max="11" width="9.140625" style="12"/>
    <col min="257" max="257" width="53.28515625" customWidth="1"/>
    <col min="258" max="258" width="15.5703125" bestFit="1" customWidth="1"/>
    <col min="259" max="259" width="10.5703125" customWidth="1"/>
    <col min="260" max="260" width="10.5703125" bestFit="1" customWidth="1"/>
    <col min="262" max="262" width="10.140625" customWidth="1"/>
    <col min="263" max="263" width="12.28515625" customWidth="1"/>
    <col min="264" max="264" width="10.85546875" bestFit="1" customWidth="1"/>
    <col min="265" max="265" width="11.140625" bestFit="1" customWidth="1"/>
    <col min="266" max="266" width="10.42578125" customWidth="1"/>
    <col min="513" max="513" width="53.28515625" customWidth="1"/>
    <col min="514" max="514" width="15.5703125" bestFit="1" customWidth="1"/>
    <col min="515" max="515" width="10.5703125" customWidth="1"/>
    <col min="516" max="516" width="10.5703125" bestFit="1" customWidth="1"/>
    <col min="518" max="518" width="10.140625" customWidth="1"/>
    <col min="519" max="519" width="12.28515625" customWidth="1"/>
    <col min="520" max="520" width="10.85546875" bestFit="1" customWidth="1"/>
    <col min="521" max="521" width="11.140625" bestFit="1" customWidth="1"/>
    <col min="522" max="522" width="10.42578125" customWidth="1"/>
    <col min="769" max="769" width="53.28515625" customWidth="1"/>
    <col min="770" max="770" width="15.5703125" bestFit="1" customWidth="1"/>
    <col min="771" max="771" width="10.5703125" customWidth="1"/>
    <col min="772" max="772" width="10.5703125" bestFit="1" customWidth="1"/>
    <col min="774" max="774" width="10.140625" customWidth="1"/>
    <col min="775" max="775" width="12.28515625" customWidth="1"/>
    <col min="776" max="776" width="10.85546875" bestFit="1" customWidth="1"/>
    <col min="777" max="777" width="11.140625" bestFit="1" customWidth="1"/>
    <col min="778" max="778" width="10.42578125" customWidth="1"/>
    <col min="1025" max="1025" width="53.28515625" customWidth="1"/>
    <col min="1026" max="1026" width="15.5703125" bestFit="1" customWidth="1"/>
    <col min="1027" max="1027" width="10.5703125" customWidth="1"/>
    <col min="1028" max="1028" width="10.5703125" bestFit="1" customWidth="1"/>
    <col min="1030" max="1030" width="10.140625" customWidth="1"/>
    <col min="1031" max="1031" width="12.28515625" customWidth="1"/>
    <col min="1032" max="1032" width="10.85546875" bestFit="1" customWidth="1"/>
    <col min="1033" max="1033" width="11.140625" bestFit="1" customWidth="1"/>
    <col min="1034" max="1034" width="10.42578125" customWidth="1"/>
    <col min="1281" max="1281" width="53.28515625" customWidth="1"/>
    <col min="1282" max="1282" width="15.5703125" bestFit="1" customWidth="1"/>
    <col min="1283" max="1283" width="10.5703125" customWidth="1"/>
    <col min="1284" max="1284" width="10.5703125" bestFit="1" customWidth="1"/>
    <col min="1286" max="1286" width="10.140625" customWidth="1"/>
    <col min="1287" max="1287" width="12.28515625" customWidth="1"/>
    <col min="1288" max="1288" width="10.85546875" bestFit="1" customWidth="1"/>
    <col min="1289" max="1289" width="11.140625" bestFit="1" customWidth="1"/>
    <col min="1290" max="1290" width="10.42578125" customWidth="1"/>
    <col min="1537" max="1537" width="53.28515625" customWidth="1"/>
    <col min="1538" max="1538" width="15.5703125" bestFit="1" customWidth="1"/>
    <col min="1539" max="1539" width="10.5703125" customWidth="1"/>
    <col min="1540" max="1540" width="10.5703125" bestFit="1" customWidth="1"/>
    <col min="1542" max="1542" width="10.140625" customWidth="1"/>
    <col min="1543" max="1543" width="12.28515625" customWidth="1"/>
    <col min="1544" max="1544" width="10.85546875" bestFit="1" customWidth="1"/>
    <col min="1545" max="1545" width="11.140625" bestFit="1" customWidth="1"/>
    <col min="1546" max="1546" width="10.42578125" customWidth="1"/>
    <col min="1793" max="1793" width="53.28515625" customWidth="1"/>
    <col min="1794" max="1794" width="15.5703125" bestFit="1" customWidth="1"/>
    <col min="1795" max="1795" width="10.5703125" customWidth="1"/>
    <col min="1796" max="1796" width="10.5703125" bestFit="1" customWidth="1"/>
    <col min="1798" max="1798" width="10.140625" customWidth="1"/>
    <col min="1799" max="1799" width="12.28515625" customWidth="1"/>
    <col min="1800" max="1800" width="10.85546875" bestFit="1" customWidth="1"/>
    <col min="1801" max="1801" width="11.140625" bestFit="1" customWidth="1"/>
    <col min="1802" max="1802" width="10.42578125" customWidth="1"/>
    <col min="2049" max="2049" width="53.28515625" customWidth="1"/>
    <col min="2050" max="2050" width="15.5703125" bestFit="1" customWidth="1"/>
    <col min="2051" max="2051" width="10.5703125" customWidth="1"/>
    <col min="2052" max="2052" width="10.5703125" bestFit="1" customWidth="1"/>
    <col min="2054" max="2054" width="10.140625" customWidth="1"/>
    <col min="2055" max="2055" width="12.28515625" customWidth="1"/>
    <col min="2056" max="2056" width="10.85546875" bestFit="1" customWidth="1"/>
    <col min="2057" max="2057" width="11.140625" bestFit="1" customWidth="1"/>
    <col min="2058" max="2058" width="10.42578125" customWidth="1"/>
    <col min="2305" max="2305" width="53.28515625" customWidth="1"/>
    <col min="2306" max="2306" width="15.5703125" bestFit="1" customWidth="1"/>
    <col min="2307" max="2307" width="10.5703125" customWidth="1"/>
    <col min="2308" max="2308" width="10.5703125" bestFit="1" customWidth="1"/>
    <col min="2310" max="2310" width="10.140625" customWidth="1"/>
    <col min="2311" max="2311" width="12.28515625" customWidth="1"/>
    <col min="2312" max="2312" width="10.85546875" bestFit="1" customWidth="1"/>
    <col min="2313" max="2313" width="11.140625" bestFit="1" customWidth="1"/>
    <col min="2314" max="2314" width="10.42578125" customWidth="1"/>
    <col min="2561" max="2561" width="53.28515625" customWidth="1"/>
    <col min="2562" max="2562" width="15.5703125" bestFit="1" customWidth="1"/>
    <col min="2563" max="2563" width="10.5703125" customWidth="1"/>
    <col min="2564" max="2564" width="10.5703125" bestFit="1" customWidth="1"/>
    <col min="2566" max="2566" width="10.140625" customWidth="1"/>
    <col min="2567" max="2567" width="12.28515625" customWidth="1"/>
    <col min="2568" max="2568" width="10.85546875" bestFit="1" customWidth="1"/>
    <col min="2569" max="2569" width="11.140625" bestFit="1" customWidth="1"/>
    <col min="2570" max="2570" width="10.42578125" customWidth="1"/>
    <col min="2817" max="2817" width="53.28515625" customWidth="1"/>
    <col min="2818" max="2818" width="15.5703125" bestFit="1" customWidth="1"/>
    <col min="2819" max="2819" width="10.5703125" customWidth="1"/>
    <col min="2820" max="2820" width="10.5703125" bestFit="1" customWidth="1"/>
    <col min="2822" max="2822" width="10.140625" customWidth="1"/>
    <col min="2823" max="2823" width="12.28515625" customWidth="1"/>
    <col min="2824" max="2824" width="10.85546875" bestFit="1" customWidth="1"/>
    <col min="2825" max="2825" width="11.140625" bestFit="1" customWidth="1"/>
    <col min="2826" max="2826" width="10.42578125" customWidth="1"/>
    <col min="3073" max="3073" width="53.28515625" customWidth="1"/>
    <col min="3074" max="3074" width="15.5703125" bestFit="1" customWidth="1"/>
    <col min="3075" max="3075" width="10.5703125" customWidth="1"/>
    <col min="3076" max="3076" width="10.5703125" bestFit="1" customWidth="1"/>
    <col min="3078" max="3078" width="10.140625" customWidth="1"/>
    <col min="3079" max="3079" width="12.28515625" customWidth="1"/>
    <col min="3080" max="3080" width="10.85546875" bestFit="1" customWidth="1"/>
    <col min="3081" max="3081" width="11.140625" bestFit="1" customWidth="1"/>
    <col min="3082" max="3082" width="10.42578125" customWidth="1"/>
    <col min="3329" max="3329" width="53.28515625" customWidth="1"/>
    <col min="3330" max="3330" width="15.5703125" bestFit="1" customWidth="1"/>
    <col min="3331" max="3331" width="10.5703125" customWidth="1"/>
    <col min="3332" max="3332" width="10.5703125" bestFit="1" customWidth="1"/>
    <col min="3334" max="3334" width="10.140625" customWidth="1"/>
    <col min="3335" max="3335" width="12.28515625" customWidth="1"/>
    <col min="3336" max="3336" width="10.85546875" bestFit="1" customWidth="1"/>
    <col min="3337" max="3337" width="11.140625" bestFit="1" customWidth="1"/>
    <col min="3338" max="3338" width="10.42578125" customWidth="1"/>
    <col min="3585" max="3585" width="53.28515625" customWidth="1"/>
    <col min="3586" max="3586" width="15.5703125" bestFit="1" customWidth="1"/>
    <col min="3587" max="3587" width="10.5703125" customWidth="1"/>
    <col min="3588" max="3588" width="10.5703125" bestFit="1" customWidth="1"/>
    <col min="3590" max="3590" width="10.140625" customWidth="1"/>
    <col min="3591" max="3591" width="12.28515625" customWidth="1"/>
    <col min="3592" max="3592" width="10.85546875" bestFit="1" customWidth="1"/>
    <col min="3593" max="3593" width="11.140625" bestFit="1" customWidth="1"/>
    <col min="3594" max="3594" width="10.42578125" customWidth="1"/>
    <col min="3841" max="3841" width="53.28515625" customWidth="1"/>
    <col min="3842" max="3842" width="15.5703125" bestFit="1" customWidth="1"/>
    <col min="3843" max="3843" width="10.5703125" customWidth="1"/>
    <col min="3844" max="3844" width="10.5703125" bestFit="1" customWidth="1"/>
    <col min="3846" max="3846" width="10.140625" customWidth="1"/>
    <col min="3847" max="3847" width="12.28515625" customWidth="1"/>
    <col min="3848" max="3848" width="10.85546875" bestFit="1" customWidth="1"/>
    <col min="3849" max="3849" width="11.140625" bestFit="1" customWidth="1"/>
    <col min="3850" max="3850" width="10.42578125" customWidth="1"/>
    <col min="4097" max="4097" width="53.28515625" customWidth="1"/>
    <col min="4098" max="4098" width="15.5703125" bestFit="1" customWidth="1"/>
    <col min="4099" max="4099" width="10.5703125" customWidth="1"/>
    <col min="4100" max="4100" width="10.5703125" bestFit="1" customWidth="1"/>
    <col min="4102" max="4102" width="10.140625" customWidth="1"/>
    <col min="4103" max="4103" width="12.28515625" customWidth="1"/>
    <col min="4104" max="4104" width="10.85546875" bestFit="1" customWidth="1"/>
    <col min="4105" max="4105" width="11.140625" bestFit="1" customWidth="1"/>
    <col min="4106" max="4106" width="10.42578125" customWidth="1"/>
    <col min="4353" max="4353" width="53.28515625" customWidth="1"/>
    <col min="4354" max="4354" width="15.5703125" bestFit="1" customWidth="1"/>
    <col min="4355" max="4355" width="10.5703125" customWidth="1"/>
    <col min="4356" max="4356" width="10.5703125" bestFit="1" customWidth="1"/>
    <col min="4358" max="4358" width="10.140625" customWidth="1"/>
    <col min="4359" max="4359" width="12.28515625" customWidth="1"/>
    <col min="4360" max="4360" width="10.85546875" bestFit="1" customWidth="1"/>
    <col min="4361" max="4361" width="11.140625" bestFit="1" customWidth="1"/>
    <col min="4362" max="4362" width="10.42578125" customWidth="1"/>
    <col min="4609" max="4609" width="53.28515625" customWidth="1"/>
    <col min="4610" max="4610" width="15.5703125" bestFit="1" customWidth="1"/>
    <col min="4611" max="4611" width="10.5703125" customWidth="1"/>
    <col min="4612" max="4612" width="10.5703125" bestFit="1" customWidth="1"/>
    <col min="4614" max="4614" width="10.140625" customWidth="1"/>
    <col min="4615" max="4615" width="12.28515625" customWidth="1"/>
    <col min="4616" max="4616" width="10.85546875" bestFit="1" customWidth="1"/>
    <col min="4617" max="4617" width="11.140625" bestFit="1" customWidth="1"/>
    <col min="4618" max="4618" width="10.42578125" customWidth="1"/>
    <col min="4865" max="4865" width="53.28515625" customWidth="1"/>
    <col min="4866" max="4866" width="15.5703125" bestFit="1" customWidth="1"/>
    <col min="4867" max="4867" width="10.5703125" customWidth="1"/>
    <col min="4868" max="4868" width="10.5703125" bestFit="1" customWidth="1"/>
    <col min="4870" max="4870" width="10.140625" customWidth="1"/>
    <col min="4871" max="4871" width="12.28515625" customWidth="1"/>
    <col min="4872" max="4872" width="10.85546875" bestFit="1" customWidth="1"/>
    <col min="4873" max="4873" width="11.140625" bestFit="1" customWidth="1"/>
    <col min="4874" max="4874" width="10.42578125" customWidth="1"/>
    <col min="5121" max="5121" width="53.28515625" customWidth="1"/>
    <col min="5122" max="5122" width="15.5703125" bestFit="1" customWidth="1"/>
    <col min="5123" max="5123" width="10.5703125" customWidth="1"/>
    <col min="5124" max="5124" width="10.5703125" bestFit="1" customWidth="1"/>
    <col min="5126" max="5126" width="10.140625" customWidth="1"/>
    <col min="5127" max="5127" width="12.28515625" customWidth="1"/>
    <col min="5128" max="5128" width="10.85546875" bestFit="1" customWidth="1"/>
    <col min="5129" max="5129" width="11.140625" bestFit="1" customWidth="1"/>
    <col min="5130" max="5130" width="10.42578125" customWidth="1"/>
    <col min="5377" max="5377" width="53.28515625" customWidth="1"/>
    <col min="5378" max="5378" width="15.5703125" bestFit="1" customWidth="1"/>
    <col min="5379" max="5379" width="10.5703125" customWidth="1"/>
    <col min="5380" max="5380" width="10.5703125" bestFit="1" customWidth="1"/>
    <col min="5382" max="5382" width="10.140625" customWidth="1"/>
    <col min="5383" max="5383" width="12.28515625" customWidth="1"/>
    <col min="5384" max="5384" width="10.85546875" bestFit="1" customWidth="1"/>
    <col min="5385" max="5385" width="11.140625" bestFit="1" customWidth="1"/>
    <col min="5386" max="5386" width="10.42578125" customWidth="1"/>
    <col min="5633" max="5633" width="53.28515625" customWidth="1"/>
    <col min="5634" max="5634" width="15.5703125" bestFit="1" customWidth="1"/>
    <col min="5635" max="5635" width="10.5703125" customWidth="1"/>
    <col min="5636" max="5636" width="10.5703125" bestFit="1" customWidth="1"/>
    <col min="5638" max="5638" width="10.140625" customWidth="1"/>
    <col min="5639" max="5639" width="12.28515625" customWidth="1"/>
    <col min="5640" max="5640" width="10.85546875" bestFit="1" customWidth="1"/>
    <col min="5641" max="5641" width="11.140625" bestFit="1" customWidth="1"/>
    <col min="5642" max="5642" width="10.42578125" customWidth="1"/>
    <col min="5889" max="5889" width="53.28515625" customWidth="1"/>
    <col min="5890" max="5890" width="15.5703125" bestFit="1" customWidth="1"/>
    <col min="5891" max="5891" width="10.5703125" customWidth="1"/>
    <col min="5892" max="5892" width="10.5703125" bestFit="1" customWidth="1"/>
    <col min="5894" max="5894" width="10.140625" customWidth="1"/>
    <col min="5895" max="5895" width="12.28515625" customWidth="1"/>
    <col min="5896" max="5896" width="10.85546875" bestFit="1" customWidth="1"/>
    <col min="5897" max="5897" width="11.140625" bestFit="1" customWidth="1"/>
    <col min="5898" max="5898" width="10.42578125" customWidth="1"/>
    <col min="6145" max="6145" width="53.28515625" customWidth="1"/>
    <col min="6146" max="6146" width="15.5703125" bestFit="1" customWidth="1"/>
    <col min="6147" max="6147" width="10.5703125" customWidth="1"/>
    <col min="6148" max="6148" width="10.5703125" bestFit="1" customWidth="1"/>
    <col min="6150" max="6150" width="10.140625" customWidth="1"/>
    <col min="6151" max="6151" width="12.28515625" customWidth="1"/>
    <col min="6152" max="6152" width="10.85546875" bestFit="1" customWidth="1"/>
    <col min="6153" max="6153" width="11.140625" bestFit="1" customWidth="1"/>
    <col min="6154" max="6154" width="10.42578125" customWidth="1"/>
    <col min="6401" max="6401" width="53.28515625" customWidth="1"/>
    <col min="6402" max="6402" width="15.5703125" bestFit="1" customWidth="1"/>
    <col min="6403" max="6403" width="10.5703125" customWidth="1"/>
    <col min="6404" max="6404" width="10.5703125" bestFit="1" customWidth="1"/>
    <col min="6406" max="6406" width="10.140625" customWidth="1"/>
    <col min="6407" max="6407" width="12.28515625" customWidth="1"/>
    <col min="6408" max="6408" width="10.85546875" bestFit="1" customWidth="1"/>
    <col min="6409" max="6409" width="11.140625" bestFit="1" customWidth="1"/>
    <col min="6410" max="6410" width="10.42578125" customWidth="1"/>
    <col min="6657" max="6657" width="53.28515625" customWidth="1"/>
    <col min="6658" max="6658" width="15.5703125" bestFit="1" customWidth="1"/>
    <col min="6659" max="6659" width="10.5703125" customWidth="1"/>
    <col min="6660" max="6660" width="10.5703125" bestFit="1" customWidth="1"/>
    <col min="6662" max="6662" width="10.140625" customWidth="1"/>
    <col min="6663" max="6663" width="12.28515625" customWidth="1"/>
    <col min="6664" max="6664" width="10.85546875" bestFit="1" customWidth="1"/>
    <col min="6665" max="6665" width="11.140625" bestFit="1" customWidth="1"/>
    <col min="6666" max="6666" width="10.42578125" customWidth="1"/>
    <col min="6913" max="6913" width="53.28515625" customWidth="1"/>
    <col min="6914" max="6914" width="15.5703125" bestFit="1" customWidth="1"/>
    <col min="6915" max="6915" width="10.5703125" customWidth="1"/>
    <col min="6916" max="6916" width="10.5703125" bestFit="1" customWidth="1"/>
    <col min="6918" max="6918" width="10.140625" customWidth="1"/>
    <col min="6919" max="6919" width="12.28515625" customWidth="1"/>
    <col min="6920" max="6920" width="10.85546875" bestFit="1" customWidth="1"/>
    <col min="6921" max="6921" width="11.140625" bestFit="1" customWidth="1"/>
    <col min="6922" max="6922" width="10.42578125" customWidth="1"/>
    <col min="7169" max="7169" width="53.28515625" customWidth="1"/>
    <col min="7170" max="7170" width="15.5703125" bestFit="1" customWidth="1"/>
    <col min="7171" max="7171" width="10.5703125" customWidth="1"/>
    <col min="7172" max="7172" width="10.5703125" bestFit="1" customWidth="1"/>
    <col min="7174" max="7174" width="10.140625" customWidth="1"/>
    <col min="7175" max="7175" width="12.28515625" customWidth="1"/>
    <col min="7176" max="7176" width="10.85546875" bestFit="1" customWidth="1"/>
    <col min="7177" max="7177" width="11.140625" bestFit="1" customWidth="1"/>
    <col min="7178" max="7178" width="10.42578125" customWidth="1"/>
    <col min="7425" max="7425" width="53.28515625" customWidth="1"/>
    <col min="7426" max="7426" width="15.5703125" bestFit="1" customWidth="1"/>
    <col min="7427" max="7427" width="10.5703125" customWidth="1"/>
    <col min="7428" max="7428" width="10.5703125" bestFit="1" customWidth="1"/>
    <col min="7430" max="7430" width="10.140625" customWidth="1"/>
    <col min="7431" max="7431" width="12.28515625" customWidth="1"/>
    <col min="7432" max="7432" width="10.85546875" bestFit="1" customWidth="1"/>
    <col min="7433" max="7433" width="11.140625" bestFit="1" customWidth="1"/>
    <col min="7434" max="7434" width="10.42578125" customWidth="1"/>
    <col min="7681" max="7681" width="53.28515625" customWidth="1"/>
    <col min="7682" max="7682" width="15.5703125" bestFit="1" customWidth="1"/>
    <col min="7683" max="7683" width="10.5703125" customWidth="1"/>
    <col min="7684" max="7684" width="10.5703125" bestFit="1" customWidth="1"/>
    <col min="7686" max="7686" width="10.140625" customWidth="1"/>
    <col min="7687" max="7687" width="12.28515625" customWidth="1"/>
    <col min="7688" max="7688" width="10.85546875" bestFit="1" customWidth="1"/>
    <col min="7689" max="7689" width="11.140625" bestFit="1" customWidth="1"/>
    <col min="7690" max="7690" width="10.42578125" customWidth="1"/>
    <col min="7937" max="7937" width="53.28515625" customWidth="1"/>
    <col min="7938" max="7938" width="15.5703125" bestFit="1" customWidth="1"/>
    <col min="7939" max="7939" width="10.5703125" customWidth="1"/>
    <col min="7940" max="7940" width="10.5703125" bestFit="1" customWidth="1"/>
    <col min="7942" max="7942" width="10.140625" customWidth="1"/>
    <col min="7943" max="7943" width="12.28515625" customWidth="1"/>
    <col min="7944" max="7944" width="10.85546875" bestFit="1" customWidth="1"/>
    <col min="7945" max="7945" width="11.140625" bestFit="1" customWidth="1"/>
    <col min="7946" max="7946" width="10.42578125" customWidth="1"/>
    <col min="8193" max="8193" width="53.28515625" customWidth="1"/>
    <col min="8194" max="8194" width="15.5703125" bestFit="1" customWidth="1"/>
    <col min="8195" max="8195" width="10.5703125" customWidth="1"/>
    <col min="8196" max="8196" width="10.5703125" bestFit="1" customWidth="1"/>
    <col min="8198" max="8198" width="10.140625" customWidth="1"/>
    <col min="8199" max="8199" width="12.28515625" customWidth="1"/>
    <col min="8200" max="8200" width="10.85546875" bestFit="1" customWidth="1"/>
    <col min="8201" max="8201" width="11.140625" bestFit="1" customWidth="1"/>
    <col min="8202" max="8202" width="10.42578125" customWidth="1"/>
    <col min="8449" max="8449" width="53.28515625" customWidth="1"/>
    <col min="8450" max="8450" width="15.5703125" bestFit="1" customWidth="1"/>
    <col min="8451" max="8451" width="10.5703125" customWidth="1"/>
    <col min="8452" max="8452" width="10.5703125" bestFit="1" customWidth="1"/>
    <col min="8454" max="8454" width="10.140625" customWidth="1"/>
    <col min="8455" max="8455" width="12.28515625" customWidth="1"/>
    <col min="8456" max="8456" width="10.85546875" bestFit="1" customWidth="1"/>
    <col min="8457" max="8457" width="11.140625" bestFit="1" customWidth="1"/>
    <col min="8458" max="8458" width="10.42578125" customWidth="1"/>
    <col min="8705" max="8705" width="53.28515625" customWidth="1"/>
    <col min="8706" max="8706" width="15.5703125" bestFit="1" customWidth="1"/>
    <col min="8707" max="8707" width="10.5703125" customWidth="1"/>
    <col min="8708" max="8708" width="10.5703125" bestFit="1" customWidth="1"/>
    <col min="8710" max="8710" width="10.140625" customWidth="1"/>
    <col min="8711" max="8711" width="12.28515625" customWidth="1"/>
    <col min="8712" max="8712" width="10.85546875" bestFit="1" customWidth="1"/>
    <col min="8713" max="8713" width="11.140625" bestFit="1" customWidth="1"/>
    <col min="8714" max="8714" width="10.42578125" customWidth="1"/>
    <col min="8961" max="8961" width="53.28515625" customWidth="1"/>
    <col min="8962" max="8962" width="15.5703125" bestFit="1" customWidth="1"/>
    <col min="8963" max="8963" width="10.5703125" customWidth="1"/>
    <col min="8964" max="8964" width="10.5703125" bestFit="1" customWidth="1"/>
    <col min="8966" max="8966" width="10.140625" customWidth="1"/>
    <col min="8967" max="8967" width="12.28515625" customWidth="1"/>
    <col min="8968" max="8968" width="10.85546875" bestFit="1" customWidth="1"/>
    <col min="8969" max="8969" width="11.140625" bestFit="1" customWidth="1"/>
    <col min="8970" max="8970" width="10.42578125" customWidth="1"/>
    <col min="9217" max="9217" width="53.28515625" customWidth="1"/>
    <col min="9218" max="9218" width="15.5703125" bestFit="1" customWidth="1"/>
    <col min="9219" max="9219" width="10.5703125" customWidth="1"/>
    <col min="9220" max="9220" width="10.5703125" bestFit="1" customWidth="1"/>
    <col min="9222" max="9222" width="10.140625" customWidth="1"/>
    <col min="9223" max="9223" width="12.28515625" customWidth="1"/>
    <col min="9224" max="9224" width="10.85546875" bestFit="1" customWidth="1"/>
    <col min="9225" max="9225" width="11.140625" bestFit="1" customWidth="1"/>
    <col min="9226" max="9226" width="10.42578125" customWidth="1"/>
    <col min="9473" max="9473" width="53.28515625" customWidth="1"/>
    <col min="9474" max="9474" width="15.5703125" bestFit="1" customWidth="1"/>
    <col min="9475" max="9475" width="10.5703125" customWidth="1"/>
    <col min="9476" max="9476" width="10.5703125" bestFit="1" customWidth="1"/>
    <col min="9478" max="9478" width="10.140625" customWidth="1"/>
    <col min="9479" max="9479" width="12.28515625" customWidth="1"/>
    <col min="9480" max="9480" width="10.85546875" bestFit="1" customWidth="1"/>
    <col min="9481" max="9481" width="11.140625" bestFit="1" customWidth="1"/>
    <col min="9482" max="9482" width="10.42578125" customWidth="1"/>
    <col min="9729" max="9729" width="53.28515625" customWidth="1"/>
    <col min="9730" max="9730" width="15.5703125" bestFit="1" customWidth="1"/>
    <col min="9731" max="9731" width="10.5703125" customWidth="1"/>
    <col min="9732" max="9732" width="10.5703125" bestFit="1" customWidth="1"/>
    <col min="9734" max="9734" width="10.140625" customWidth="1"/>
    <col min="9735" max="9735" width="12.28515625" customWidth="1"/>
    <col min="9736" max="9736" width="10.85546875" bestFit="1" customWidth="1"/>
    <col min="9737" max="9737" width="11.140625" bestFit="1" customWidth="1"/>
    <col min="9738" max="9738" width="10.42578125" customWidth="1"/>
    <col min="9985" max="9985" width="53.28515625" customWidth="1"/>
    <col min="9986" max="9986" width="15.5703125" bestFit="1" customWidth="1"/>
    <col min="9987" max="9987" width="10.5703125" customWidth="1"/>
    <col min="9988" max="9988" width="10.5703125" bestFit="1" customWidth="1"/>
    <col min="9990" max="9990" width="10.140625" customWidth="1"/>
    <col min="9991" max="9991" width="12.28515625" customWidth="1"/>
    <col min="9992" max="9992" width="10.85546875" bestFit="1" customWidth="1"/>
    <col min="9993" max="9993" width="11.140625" bestFit="1" customWidth="1"/>
    <col min="9994" max="9994" width="10.42578125" customWidth="1"/>
    <col min="10241" max="10241" width="53.28515625" customWidth="1"/>
    <col min="10242" max="10242" width="15.5703125" bestFit="1" customWidth="1"/>
    <col min="10243" max="10243" width="10.5703125" customWidth="1"/>
    <col min="10244" max="10244" width="10.5703125" bestFit="1" customWidth="1"/>
    <col min="10246" max="10246" width="10.140625" customWidth="1"/>
    <col min="10247" max="10247" width="12.28515625" customWidth="1"/>
    <col min="10248" max="10248" width="10.85546875" bestFit="1" customWidth="1"/>
    <col min="10249" max="10249" width="11.140625" bestFit="1" customWidth="1"/>
    <col min="10250" max="10250" width="10.42578125" customWidth="1"/>
    <col min="10497" max="10497" width="53.28515625" customWidth="1"/>
    <col min="10498" max="10498" width="15.5703125" bestFit="1" customWidth="1"/>
    <col min="10499" max="10499" width="10.5703125" customWidth="1"/>
    <col min="10500" max="10500" width="10.5703125" bestFit="1" customWidth="1"/>
    <col min="10502" max="10502" width="10.140625" customWidth="1"/>
    <col min="10503" max="10503" width="12.28515625" customWidth="1"/>
    <col min="10504" max="10504" width="10.85546875" bestFit="1" customWidth="1"/>
    <col min="10505" max="10505" width="11.140625" bestFit="1" customWidth="1"/>
    <col min="10506" max="10506" width="10.42578125" customWidth="1"/>
    <col min="10753" max="10753" width="53.28515625" customWidth="1"/>
    <col min="10754" max="10754" width="15.5703125" bestFit="1" customWidth="1"/>
    <col min="10755" max="10755" width="10.5703125" customWidth="1"/>
    <col min="10756" max="10756" width="10.5703125" bestFit="1" customWidth="1"/>
    <col min="10758" max="10758" width="10.140625" customWidth="1"/>
    <col min="10759" max="10759" width="12.28515625" customWidth="1"/>
    <col min="10760" max="10760" width="10.85546875" bestFit="1" customWidth="1"/>
    <col min="10761" max="10761" width="11.140625" bestFit="1" customWidth="1"/>
    <col min="10762" max="10762" width="10.42578125" customWidth="1"/>
    <col min="11009" max="11009" width="53.28515625" customWidth="1"/>
    <col min="11010" max="11010" width="15.5703125" bestFit="1" customWidth="1"/>
    <col min="11011" max="11011" width="10.5703125" customWidth="1"/>
    <col min="11012" max="11012" width="10.5703125" bestFit="1" customWidth="1"/>
    <col min="11014" max="11014" width="10.140625" customWidth="1"/>
    <col min="11015" max="11015" width="12.28515625" customWidth="1"/>
    <col min="11016" max="11016" width="10.85546875" bestFit="1" customWidth="1"/>
    <col min="11017" max="11017" width="11.140625" bestFit="1" customWidth="1"/>
    <col min="11018" max="11018" width="10.42578125" customWidth="1"/>
    <col min="11265" max="11265" width="53.28515625" customWidth="1"/>
    <col min="11266" max="11266" width="15.5703125" bestFit="1" customWidth="1"/>
    <col min="11267" max="11267" width="10.5703125" customWidth="1"/>
    <col min="11268" max="11268" width="10.5703125" bestFit="1" customWidth="1"/>
    <col min="11270" max="11270" width="10.140625" customWidth="1"/>
    <col min="11271" max="11271" width="12.28515625" customWidth="1"/>
    <col min="11272" max="11272" width="10.85546875" bestFit="1" customWidth="1"/>
    <col min="11273" max="11273" width="11.140625" bestFit="1" customWidth="1"/>
    <col min="11274" max="11274" width="10.42578125" customWidth="1"/>
    <col min="11521" max="11521" width="53.28515625" customWidth="1"/>
    <col min="11522" max="11522" width="15.5703125" bestFit="1" customWidth="1"/>
    <col min="11523" max="11523" width="10.5703125" customWidth="1"/>
    <col min="11524" max="11524" width="10.5703125" bestFit="1" customWidth="1"/>
    <col min="11526" max="11526" width="10.140625" customWidth="1"/>
    <col min="11527" max="11527" width="12.28515625" customWidth="1"/>
    <col min="11528" max="11528" width="10.85546875" bestFit="1" customWidth="1"/>
    <col min="11529" max="11529" width="11.140625" bestFit="1" customWidth="1"/>
    <col min="11530" max="11530" width="10.42578125" customWidth="1"/>
    <col min="11777" max="11777" width="53.28515625" customWidth="1"/>
    <col min="11778" max="11778" width="15.5703125" bestFit="1" customWidth="1"/>
    <col min="11779" max="11779" width="10.5703125" customWidth="1"/>
    <col min="11780" max="11780" width="10.5703125" bestFit="1" customWidth="1"/>
    <col min="11782" max="11782" width="10.140625" customWidth="1"/>
    <col min="11783" max="11783" width="12.28515625" customWidth="1"/>
    <col min="11784" max="11784" width="10.85546875" bestFit="1" customWidth="1"/>
    <col min="11785" max="11785" width="11.140625" bestFit="1" customWidth="1"/>
    <col min="11786" max="11786" width="10.42578125" customWidth="1"/>
    <col min="12033" max="12033" width="53.28515625" customWidth="1"/>
    <col min="12034" max="12034" width="15.5703125" bestFit="1" customWidth="1"/>
    <col min="12035" max="12035" width="10.5703125" customWidth="1"/>
    <col min="12036" max="12036" width="10.5703125" bestFit="1" customWidth="1"/>
    <col min="12038" max="12038" width="10.140625" customWidth="1"/>
    <col min="12039" max="12039" width="12.28515625" customWidth="1"/>
    <col min="12040" max="12040" width="10.85546875" bestFit="1" customWidth="1"/>
    <col min="12041" max="12041" width="11.140625" bestFit="1" customWidth="1"/>
    <col min="12042" max="12042" width="10.42578125" customWidth="1"/>
    <col min="12289" max="12289" width="53.28515625" customWidth="1"/>
    <col min="12290" max="12290" width="15.5703125" bestFit="1" customWidth="1"/>
    <col min="12291" max="12291" width="10.5703125" customWidth="1"/>
    <col min="12292" max="12292" width="10.5703125" bestFit="1" customWidth="1"/>
    <col min="12294" max="12294" width="10.140625" customWidth="1"/>
    <col min="12295" max="12295" width="12.28515625" customWidth="1"/>
    <col min="12296" max="12296" width="10.85546875" bestFit="1" customWidth="1"/>
    <col min="12297" max="12297" width="11.140625" bestFit="1" customWidth="1"/>
    <col min="12298" max="12298" width="10.42578125" customWidth="1"/>
    <col min="12545" max="12545" width="53.28515625" customWidth="1"/>
    <col min="12546" max="12546" width="15.5703125" bestFit="1" customWidth="1"/>
    <col min="12547" max="12547" width="10.5703125" customWidth="1"/>
    <col min="12548" max="12548" width="10.5703125" bestFit="1" customWidth="1"/>
    <col min="12550" max="12550" width="10.140625" customWidth="1"/>
    <col min="12551" max="12551" width="12.28515625" customWidth="1"/>
    <col min="12552" max="12552" width="10.85546875" bestFit="1" customWidth="1"/>
    <col min="12553" max="12553" width="11.140625" bestFit="1" customWidth="1"/>
    <col min="12554" max="12554" width="10.42578125" customWidth="1"/>
    <col min="12801" max="12801" width="53.28515625" customWidth="1"/>
    <col min="12802" max="12802" width="15.5703125" bestFit="1" customWidth="1"/>
    <col min="12803" max="12803" width="10.5703125" customWidth="1"/>
    <col min="12804" max="12804" width="10.5703125" bestFit="1" customWidth="1"/>
    <col min="12806" max="12806" width="10.140625" customWidth="1"/>
    <col min="12807" max="12807" width="12.28515625" customWidth="1"/>
    <col min="12808" max="12808" width="10.85546875" bestFit="1" customWidth="1"/>
    <col min="12809" max="12809" width="11.140625" bestFit="1" customWidth="1"/>
    <col min="12810" max="12810" width="10.42578125" customWidth="1"/>
    <col min="13057" max="13057" width="53.28515625" customWidth="1"/>
    <col min="13058" max="13058" width="15.5703125" bestFit="1" customWidth="1"/>
    <col min="13059" max="13059" width="10.5703125" customWidth="1"/>
    <col min="13060" max="13060" width="10.5703125" bestFit="1" customWidth="1"/>
    <col min="13062" max="13062" width="10.140625" customWidth="1"/>
    <col min="13063" max="13063" width="12.28515625" customWidth="1"/>
    <col min="13064" max="13064" width="10.85546875" bestFit="1" customWidth="1"/>
    <col min="13065" max="13065" width="11.140625" bestFit="1" customWidth="1"/>
    <col min="13066" max="13066" width="10.42578125" customWidth="1"/>
    <col min="13313" max="13313" width="53.28515625" customWidth="1"/>
    <col min="13314" max="13314" width="15.5703125" bestFit="1" customWidth="1"/>
    <col min="13315" max="13315" width="10.5703125" customWidth="1"/>
    <col min="13316" max="13316" width="10.5703125" bestFit="1" customWidth="1"/>
    <col min="13318" max="13318" width="10.140625" customWidth="1"/>
    <col min="13319" max="13319" width="12.28515625" customWidth="1"/>
    <col min="13320" max="13320" width="10.85546875" bestFit="1" customWidth="1"/>
    <col min="13321" max="13321" width="11.140625" bestFit="1" customWidth="1"/>
    <col min="13322" max="13322" width="10.42578125" customWidth="1"/>
    <col min="13569" max="13569" width="53.28515625" customWidth="1"/>
    <col min="13570" max="13570" width="15.5703125" bestFit="1" customWidth="1"/>
    <col min="13571" max="13571" width="10.5703125" customWidth="1"/>
    <col min="13572" max="13572" width="10.5703125" bestFit="1" customWidth="1"/>
    <col min="13574" max="13574" width="10.140625" customWidth="1"/>
    <col min="13575" max="13575" width="12.28515625" customWidth="1"/>
    <col min="13576" max="13576" width="10.85546875" bestFit="1" customWidth="1"/>
    <col min="13577" max="13577" width="11.140625" bestFit="1" customWidth="1"/>
    <col min="13578" max="13578" width="10.42578125" customWidth="1"/>
    <col min="13825" max="13825" width="53.28515625" customWidth="1"/>
    <col min="13826" max="13826" width="15.5703125" bestFit="1" customWidth="1"/>
    <col min="13827" max="13827" width="10.5703125" customWidth="1"/>
    <col min="13828" max="13828" width="10.5703125" bestFit="1" customWidth="1"/>
    <col min="13830" max="13830" width="10.140625" customWidth="1"/>
    <col min="13831" max="13831" width="12.28515625" customWidth="1"/>
    <col min="13832" max="13832" width="10.85546875" bestFit="1" customWidth="1"/>
    <col min="13833" max="13833" width="11.140625" bestFit="1" customWidth="1"/>
    <col min="13834" max="13834" width="10.42578125" customWidth="1"/>
    <col min="14081" max="14081" width="53.28515625" customWidth="1"/>
    <col min="14082" max="14082" width="15.5703125" bestFit="1" customWidth="1"/>
    <col min="14083" max="14083" width="10.5703125" customWidth="1"/>
    <col min="14084" max="14084" width="10.5703125" bestFit="1" customWidth="1"/>
    <col min="14086" max="14086" width="10.140625" customWidth="1"/>
    <col min="14087" max="14087" width="12.28515625" customWidth="1"/>
    <col min="14088" max="14088" width="10.85546875" bestFit="1" customWidth="1"/>
    <col min="14089" max="14089" width="11.140625" bestFit="1" customWidth="1"/>
    <col min="14090" max="14090" width="10.42578125" customWidth="1"/>
    <col min="14337" max="14337" width="53.28515625" customWidth="1"/>
    <col min="14338" max="14338" width="15.5703125" bestFit="1" customWidth="1"/>
    <col min="14339" max="14339" width="10.5703125" customWidth="1"/>
    <col min="14340" max="14340" width="10.5703125" bestFit="1" customWidth="1"/>
    <col min="14342" max="14342" width="10.140625" customWidth="1"/>
    <col min="14343" max="14343" width="12.28515625" customWidth="1"/>
    <col min="14344" max="14344" width="10.85546875" bestFit="1" customWidth="1"/>
    <col min="14345" max="14345" width="11.140625" bestFit="1" customWidth="1"/>
    <col min="14346" max="14346" width="10.42578125" customWidth="1"/>
    <col min="14593" max="14593" width="53.28515625" customWidth="1"/>
    <col min="14594" max="14594" width="15.5703125" bestFit="1" customWidth="1"/>
    <col min="14595" max="14595" width="10.5703125" customWidth="1"/>
    <col min="14596" max="14596" width="10.5703125" bestFit="1" customWidth="1"/>
    <col min="14598" max="14598" width="10.140625" customWidth="1"/>
    <col min="14599" max="14599" width="12.28515625" customWidth="1"/>
    <col min="14600" max="14600" width="10.85546875" bestFit="1" customWidth="1"/>
    <col min="14601" max="14601" width="11.140625" bestFit="1" customWidth="1"/>
    <col min="14602" max="14602" width="10.42578125" customWidth="1"/>
    <col min="14849" max="14849" width="53.28515625" customWidth="1"/>
    <col min="14850" max="14850" width="15.5703125" bestFit="1" customWidth="1"/>
    <col min="14851" max="14851" width="10.5703125" customWidth="1"/>
    <col min="14852" max="14852" width="10.5703125" bestFit="1" customWidth="1"/>
    <col min="14854" max="14854" width="10.140625" customWidth="1"/>
    <col min="14855" max="14855" width="12.28515625" customWidth="1"/>
    <col min="14856" max="14856" width="10.85546875" bestFit="1" customWidth="1"/>
    <col min="14857" max="14857" width="11.140625" bestFit="1" customWidth="1"/>
    <col min="14858" max="14858" width="10.42578125" customWidth="1"/>
    <col min="15105" max="15105" width="53.28515625" customWidth="1"/>
    <col min="15106" max="15106" width="15.5703125" bestFit="1" customWidth="1"/>
    <col min="15107" max="15107" width="10.5703125" customWidth="1"/>
    <col min="15108" max="15108" width="10.5703125" bestFit="1" customWidth="1"/>
    <col min="15110" max="15110" width="10.140625" customWidth="1"/>
    <col min="15111" max="15111" width="12.28515625" customWidth="1"/>
    <col min="15112" max="15112" width="10.85546875" bestFit="1" customWidth="1"/>
    <col min="15113" max="15113" width="11.140625" bestFit="1" customWidth="1"/>
    <col min="15114" max="15114" width="10.42578125" customWidth="1"/>
    <col min="15361" max="15361" width="53.28515625" customWidth="1"/>
    <col min="15362" max="15362" width="15.5703125" bestFit="1" customWidth="1"/>
    <col min="15363" max="15363" width="10.5703125" customWidth="1"/>
    <col min="15364" max="15364" width="10.5703125" bestFit="1" customWidth="1"/>
    <col min="15366" max="15366" width="10.140625" customWidth="1"/>
    <col min="15367" max="15367" width="12.28515625" customWidth="1"/>
    <col min="15368" max="15368" width="10.85546875" bestFit="1" customWidth="1"/>
    <col min="15369" max="15369" width="11.140625" bestFit="1" customWidth="1"/>
    <col min="15370" max="15370" width="10.42578125" customWidth="1"/>
    <col min="15617" max="15617" width="53.28515625" customWidth="1"/>
    <col min="15618" max="15618" width="15.5703125" bestFit="1" customWidth="1"/>
    <col min="15619" max="15619" width="10.5703125" customWidth="1"/>
    <col min="15620" max="15620" width="10.5703125" bestFit="1" customWidth="1"/>
    <col min="15622" max="15622" width="10.140625" customWidth="1"/>
    <col min="15623" max="15623" width="12.28515625" customWidth="1"/>
    <col min="15624" max="15624" width="10.85546875" bestFit="1" customWidth="1"/>
    <col min="15625" max="15625" width="11.140625" bestFit="1" customWidth="1"/>
    <col min="15626" max="15626" width="10.42578125" customWidth="1"/>
    <col min="15873" max="15873" width="53.28515625" customWidth="1"/>
    <col min="15874" max="15874" width="15.5703125" bestFit="1" customWidth="1"/>
    <col min="15875" max="15875" width="10.5703125" customWidth="1"/>
    <col min="15876" max="15876" width="10.5703125" bestFit="1" customWidth="1"/>
    <col min="15878" max="15878" width="10.140625" customWidth="1"/>
    <col min="15879" max="15879" width="12.28515625" customWidth="1"/>
    <col min="15880" max="15880" width="10.85546875" bestFit="1" customWidth="1"/>
    <col min="15881" max="15881" width="11.140625" bestFit="1" customWidth="1"/>
    <col min="15882" max="15882" width="10.42578125" customWidth="1"/>
    <col min="16129" max="16129" width="53.28515625" customWidth="1"/>
    <col min="16130" max="16130" width="15.5703125" bestFit="1" customWidth="1"/>
    <col min="16131" max="16131" width="10.5703125" customWidth="1"/>
    <col min="16132" max="16132" width="10.5703125" bestFit="1" customWidth="1"/>
    <col min="16134" max="16134" width="10.140625" customWidth="1"/>
    <col min="16135" max="16135" width="12.28515625" customWidth="1"/>
    <col min="16136" max="16136" width="10.85546875" bestFit="1" customWidth="1"/>
    <col min="16137" max="16137" width="11.140625" bestFit="1" customWidth="1"/>
    <col min="16138" max="16138" width="10.42578125" customWidth="1"/>
  </cols>
  <sheetData>
    <row r="1" spans="1:11" ht="16.5" thickBot="1" x14ac:dyDescent="0.3">
      <c r="A1" s="107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3" spans="1:11" x14ac:dyDescent="0.2">
      <c r="A3" s="11" t="s">
        <v>0</v>
      </c>
      <c r="B3" s="11" t="s">
        <v>63</v>
      </c>
    </row>
    <row r="4" spans="1:11" x14ac:dyDescent="0.2">
      <c r="A4" s="13" t="s">
        <v>40</v>
      </c>
      <c r="B4" s="13">
        <v>350</v>
      </c>
    </row>
    <row r="5" spans="1:11" x14ac:dyDescent="0.2">
      <c r="A5" s="13" t="s">
        <v>3</v>
      </c>
      <c r="B5" s="13">
        <f>VLOOKUP($B$3,'Data for Bill Impacts'!$A$3:$Z$3,5,0)</f>
        <v>0</v>
      </c>
    </row>
    <row r="6" spans="1:11" x14ac:dyDescent="0.2">
      <c r="A6" s="13" t="s">
        <v>6</v>
      </c>
      <c r="B6" s="13">
        <f>VLOOKUP($B$3,'Data for Bill Impacts'!$A$3:$Z$3,2,0)</f>
        <v>1.0564</v>
      </c>
    </row>
    <row r="7" spans="1:11" x14ac:dyDescent="0.2">
      <c r="A7" s="13" t="s">
        <v>2</v>
      </c>
      <c r="B7" s="13">
        <f>VLOOKUP($B$3,'Data for Bill Impacts'!$A$3:$Z$3,4,0)</f>
        <v>600</v>
      </c>
    </row>
    <row r="8" spans="1:11" x14ac:dyDescent="0.2">
      <c r="A8" s="13" t="s">
        <v>50</v>
      </c>
      <c r="B8" s="100">
        <f>B4*B6</f>
        <v>369.74</v>
      </c>
    </row>
    <row r="9" spans="1:11" x14ac:dyDescent="0.2">
      <c r="A9" s="13" t="s">
        <v>7</v>
      </c>
      <c r="B9" s="14" t="str">
        <f>VLOOKUP($B$3,'Data for Bill Impacts'!$A$3:$Z$3,6,0)</f>
        <v>kWh</v>
      </c>
    </row>
    <row r="10" spans="1:11" ht="13.5" thickBot="1" x14ac:dyDescent="0.25"/>
    <row r="11" spans="1:11" s="18" customFormat="1" ht="39" thickBot="1" x14ac:dyDescent="0.25">
      <c r="A11" s="15"/>
      <c r="B11" s="16" t="s">
        <v>8</v>
      </c>
      <c r="C11" s="16" t="s">
        <v>9</v>
      </c>
      <c r="D11" s="16" t="s">
        <v>10</v>
      </c>
      <c r="E11" s="16" t="s">
        <v>8</v>
      </c>
      <c r="F11" s="16" t="s">
        <v>11</v>
      </c>
      <c r="G11" s="16" t="s">
        <v>12</v>
      </c>
      <c r="H11" s="16" t="s">
        <v>13</v>
      </c>
      <c r="I11" s="16" t="s">
        <v>14</v>
      </c>
      <c r="J11" s="16" t="s">
        <v>15</v>
      </c>
      <c r="K11" s="17" t="s">
        <v>16</v>
      </c>
    </row>
    <row r="12" spans="1:11" x14ac:dyDescent="0.2">
      <c r="A12" s="78" t="s">
        <v>17</v>
      </c>
      <c r="B12" s="79">
        <f>IF(B4&gt;B7,B7,B4)</f>
        <v>350</v>
      </c>
      <c r="C12" s="80">
        <v>9.4E-2</v>
      </c>
      <c r="D12" s="81">
        <f>B12*C12</f>
        <v>32.9</v>
      </c>
      <c r="E12" s="79">
        <f>B12</f>
        <v>350</v>
      </c>
      <c r="F12" s="80">
        <f>C12</f>
        <v>9.4E-2</v>
      </c>
      <c r="G12" s="81">
        <f>E12*F12</f>
        <v>32.9</v>
      </c>
      <c r="H12" s="81">
        <f>G12-D12</f>
        <v>0</v>
      </c>
      <c r="I12" s="82">
        <f>IF(ISERROR(H12/D12),0,(H12/D12))</f>
        <v>0</v>
      </c>
      <c r="J12" s="82">
        <f>G12/$G$43</f>
        <v>0.39813537342138994</v>
      </c>
      <c r="K12" s="83"/>
    </row>
    <row r="13" spans="1:11" x14ac:dyDescent="0.2">
      <c r="A13" s="84" t="s">
        <v>18</v>
      </c>
      <c r="B13" s="70">
        <f>IF(B4&gt;B7,(B4)-B7,0)</f>
        <v>0</v>
      </c>
      <c r="C13" s="19">
        <v>0.11</v>
      </c>
      <c r="D13" s="20">
        <f>B13*C13</f>
        <v>0</v>
      </c>
      <c r="E13" s="70">
        <f t="shared" ref="E13:E39" si="0">B13</f>
        <v>0</v>
      </c>
      <c r="F13" s="19">
        <f>C13</f>
        <v>0.11</v>
      </c>
      <c r="G13" s="20">
        <f>E13*F13</f>
        <v>0</v>
      </c>
      <c r="H13" s="20">
        <f t="shared" ref="H13:H43" si="1">G13-D13</f>
        <v>0</v>
      </c>
      <c r="I13" s="21">
        <f t="shared" ref="I13:I43" si="2">IF(ISERROR(H13/D13),0,(H13/D13))</f>
        <v>0</v>
      </c>
      <c r="J13" s="21">
        <f>G13/$G$43</f>
        <v>0</v>
      </c>
      <c r="K13" s="85"/>
    </row>
    <row r="14" spans="1:11" s="1" customFormat="1" x14ac:dyDescent="0.2">
      <c r="A14" s="44" t="s">
        <v>19</v>
      </c>
      <c r="B14" s="22"/>
      <c r="C14" s="23"/>
      <c r="D14" s="23">
        <f>SUM(D12:D13)</f>
        <v>32.9</v>
      </c>
      <c r="E14" s="73"/>
      <c r="F14" s="23"/>
      <c r="G14" s="23">
        <f>SUM(G12:G13)</f>
        <v>32.9</v>
      </c>
      <c r="H14" s="23">
        <f t="shared" si="1"/>
        <v>0</v>
      </c>
      <c r="I14" s="25">
        <f t="shared" si="2"/>
        <v>0</v>
      </c>
      <c r="J14" s="25">
        <f>G14/$G$43</f>
        <v>0.39813537342138994</v>
      </c>
      <c r="K14" s="85"/>
    </row>
    <row r="15" spans="1:11" s="1" customFormat="1" x14ac:dyDescent="0.2">
      <c r="A15" s="86" t="s">
        <v>20</v>
      </c>
      <c r="B15" s="72">
        <f>B4*0.64</f>
        <v>224</v>
      </c>
      <c r="C15" s="26">
        <v>0.08</v>
      </c>
      <c r="D15" s="20">
        <f>B15*C15</f>
        <v>17.920000000000002</v>
      </c>
      <c r="E15" s="70">
        <f t="shared" ref="E15:F17" si="3">B15</f>
        <v>224</v>
      </c>
      <c r="F15" s="26">
        <f t="shared" si="3"/>
        <v>0.08</v>
      </c>
      <c r="G15" s="20">
        <f>E15*F15</f>
        <v>17.920000000000002</v>
      </c>
      <c r="H15" s="20">
        <f t="shared" si="1"/>
        <v>0</v>
      </c>
      <c r="I15" s="21">
        <f t="shared" si="2"/>
        <v>0</v>
      </c>
      <c r="J15" s="21"/>
      <c r="K15" s="85">
        <f t="shared" ref="K15:K35" si="4">G15/$G$46</f>
        <v>0.20828453604595673</v>
      </c>
    </row>
    <row r="16" spans="1:11" s="1" customFormat="1" x14ac:dyDescent="0.2">
      <c r="A16" s="86" t="s">
        <v>21</v>
      </c>
      <c r="B16" s="72">
        <f>B4*0.18</f>
        <v>63</v>
      </c>
      <c r="C16" s="26">
        <v>0.122</v>
      </c>
      <c r="D16" s="20">
        <f>B16*C16</f>
        <v>7.6859999999999999</v>
      </c>
      <c r="E16" s="70">
        <f t="shared" si="3"/>
        <v>63</v>
      </c>
      <c r="F16" s="26">
        <f t="shared" si="3"/>
        <v>0.122</v>
      </c>
      <c r="G16" s="20">
        <f>E16*F16</f>
        <v>7.6859999999999999</v>
      </c>
      <c r="H16" s="20">
        <f t="shared" si="1"/>
        <v>0</v>
      </c>
      <c r="I16" s="21">
        <f t="shared" si="2"/>
        <v>0</v>
      </c>
      <c r="J16" s="21"/>
      <c r="K16" s="85">
        <f t="shared" si="4"/>
        <v>8.9334539288461121E-2</v>
      </c>
    </row>
    <row r="17" spans="1:11" s="1" customFormat="1" x14ac:dyDescent="0.2">
      <c r="A17" s="86" t="s">
        <v>22</v>
      </c>
      <c r="B17" s="72">
        <f>B4*0.18</f>
        <v>63</v>
      </c>
      <c r="C17" s="26">
        <v>0.161</v>
      </c>
      <c r="D17" s="20">
        <f>B17*C17</f>
        <v>10.143000000000001</v>
      </c>
      <c r="E17" s="70">
        <f t="shared" si="3"/>
        <v>63</v>
      </c>
      <c r="F17" s="26">
        <f t="shared" si="3"/>
        <v>0.161</v>
      </c>
      <c r="G17" s="20">
        <f>E17*F17</f>
        <v>10.143000000000001</v>
      </c>
      <c r="H17" s="20">
        <f t="shared" si="1"/>
        <v>0</v>
      </c>
      <c r="I17" s="21">
        <f t="shared" si="2"/>
        <v>0</v>
      </c>
      <c r="J17" s="21"/>
      <c r="K17" s="85">
        <f t="shared" si="4"/>
        <v>0.11789230184788722</v>
      </c>
    </row>
    <row r="18" spans="1:11" s="1" customFormat="1" x14ac:dyDescent="0.2">
      <c r="A18" s="58" t="s">
        <v>23</v>
      </c>
      <c r="B18" s="27"/>
      <c r="C18" s="28"/>
      <c r="D18" s="28">
        <f>SUM(D15:D17)</f>
        <v>35.749000000000002</v>
      </c>
      <c r="E18" s="74"/>
      <c r="F18" s="28"/>
      <c r="G18" s="28">
        <f>SUM(G15:G17)</f>
        <v>35.749000000000002</v>
      </c>
      <c r="H18" s="29">
        <f t="shared" si="1"/>
        <v>0</v>
      </c>
      <c r="I18" s="30">
        <f t="shared" si="2"/>
        <v>0</v>
      </c>
      <c r="J18" s="31">
        <f t="shared" ref="J18:J35" si="5">G18/$G$43</f>
        <v>0.43261220256660399</v>
      </c>
      <c r="K18" s="59">
        <f t="shared" si="4"/>
        <v>0.41551137718230508</v>
      </c>
    </row>
    <row r="19" spans="1:11" x14ac:dyDescent="0.2">
      <c r="A19" s="98" t="s">
        <v>24</v>
      </c>
      <c r="B19" s="70">
        <v>1</v>
      </c>
      <c r="C19" s="91">
        <f>VLOOKUP($B$3,'Data for Bill Impacts'!$A$3:$AA$3,7,0)</f>
        <v>20.87</v>
      </c>
      <c r="D19" s="20">
        <f>B19*C19</f>
        <v>20.87</v>
      </c>
      <c r="E19" s="70">
        <f t="shared" si="0"/>
        <v>1</v>
      </c>
      <c r="F19" s="91">
        <f>VLOOKUP($B$3,'Data for Bill Impacts'!$A$3:$AA$3,18,0)</f>
        <v>24.85</v>
      </c>
      <c r="G19" s="20">
        <f>E19*F19</f>
        <v>24.85</v>
      </c>
      <c r="H19" s="20">
        <f t="shared" si="1"/>
        <v>3.9800000000000004</v>
      </c>
      <c r="I19" s="21">
        <f t="shared" si="2"/>
        <v>0.19070436032582655</v>
      </c>
      <c r="J19" s="21">
        <f t="shared" si="5"/>
        <v>0.3007192714140286</v>
      </c>
      <c r="K19" s="85">
        <f t="shared" si="4"/>
        <v>0.28883207146997908</v>
      </c>
    </row>
    <row r="20" spans="1:11" x14ac:dyDescent="0.2">
      <c r="A20" s="98" t="s">
        <v>74</v>
      </c>
      <c r="B20" s="70">
        <v>1</v>
      </c>
      <c r="C20" s="75">
        <f>VLOOKUP($B$3,'Data for Bill Impacts'!$A$3:$AA$3,8,0)</f>
        <v>1.03</v>
      </c>
      <c r="D20" s="20">
        <f>B20*C20</f>
        <v>1.03</v>
      </c>
      <c r="E20" s="70">
        <f t="shared" si="0"/>
        <v>1</v>
      </c>
      <c r="F20" s="91">
        <f>VLOOKUP($B$3,'Data for Bill Impacts'!$A$3:$AA$3,19,0)</f>
        <v>1.03</v>
      </c>
      <c r="G20" s="20">
        <f t="shared" ref="G20:G21" si="6">E20*F20</f>
        <v>1.03</v>
      </c>
      <c r="H20" s="20">
        <f t="shared" si="1"/>
        <v>0</v>
      </c>
      <c r="I20" s="21">
        <f t="shared" si="2"/>
        <v>0</v>
      </c>
      <c r="J20" s="21">
        <f t="shared" si="5"/>
        <v>1.2464420505289717E-2</v>
      </c>
      <c r="K20" s="85">
        <f t="shared" si="4"/>
        <v>1.1971711614248629E-2</v>
      </c>
    </row>
    <row r="21" spans="1:11" x14ac:dyDescent="0.2">
      <c r="A21" s="98" t="s">
        <v>65</v>
      </c>
      <c r="B21" s="70">
        <v>1</v>
      </c>
      <c r="C21" s="75">
        <f>VLOOKUP($B$3,'Data for Bill Impacts'!$A$3:$AA$3,10,0)</f>
        <v>-0.31</v>
      </c>
      <c r="D21" s="20">
        <f t="shared" ref="D21" si="7">B21*C21</f>
        <v>-0.31</v>
      </c>
      <c r="E21" s="70">
        <f t="shared" si="0"/>
        <v>1</v>
      </c>
      <c r="F21" s="91">
        <f>VLOOKUP($B$3,'Data for Bill Impacts'!$A$3:$AA$3,21,0)</f>
        <v>-0.37</v>
      </c>
      <c r="G21" s="20">
        <f t="shared" si="6"/>
        <v>-0.37</v>
      </c>
      <c r="H21" s="20">
        <f t="shared" ref="H21" si="8">G21-D21</f>
        <v>-0.06</v>
      </c>
      <c r="I21" s="21">
        <f t="shared" ref="I21" si="9">IF(ISERROR(H21/D21),0,(H21/D21))</f>
        <v>0.19354838709677419</v>
      </c>
      <c r="J21" s="21">
        <f t="shared" si="5"/>
        <v>-4.477510278599218E-3</v>
      </c>
      <c r="K21" s="85">
        <f t="shared" si="4"/>
        <v>-4.3005177643417403E-3</v>
      </c>
    </row>
    <row r="22" spans="1:11" x14ac:dyDescent="0.2">
      <c r="A22" s="98" t="s">
        <v>25</v>
      </c>
      <c r="B22" s="70">
        <f>IF($B$9="kWh",$B$4,$B$5)</f>
        <v>350</v>
      </c>
      <c r="C22" s="75">
        <f>VLOOKUP($B$3,'Data for Bill Impacts'!$A$3:$AA$3,11,0)</f>
        <v>2.18E-2</v>
      </c>
      <c r="D22" s="20">
        <f>B22*C22</f>
        <v>7.63</v>
      </c>
      <c r="E22" s="70">
        <f t="shared" si="0"/>
        <v>350</v>
      </c>
      <c r="F22" s="92">
        <f>VLOOKUP($B$3,'Data for Bill Impacts'!$A$3:$AA$3,22,0)</f>
        <v>1.6400000000000001E-2</v>
      </c>
      <c r="G22" s="20">
        <f>E22*F22</f>
        <v>5.74</v>
      </c>
      <c r="H22" s="20">
        <f t="shared" si="1"/>
        <v>-1.8899999999999997</v>
      </c>
      <c r="I22" s="21">
        <f t="shared" si="2"/>
        <v>-0.24770642201834858</v>
      </c>
      <c r="J22" s="21">
        <f t="shared" si="5"/>
        <v>6.9461916213944638E-2</v>
      </c>
      <c r="K22" s="85">
        <f t="shared" si="4"/>
        <v>6.6716140452220518E-2</v>
      </c>
    </row>
    <row r="23" spans="1:11" x14ac:dyDescent="0.2">
      <c r="A23" s="98" t="s">
        <v>66</v>
      </c>
      <c r="B23" s="70">
        <f>IF($B$9="kWh",$B$4,$B$5)</f>
        <v>350</v>
      </c>
      <c r="C23" s="75">
        <f>VLOOKUP($B$3,'Data for Bill Impacts'!$A$3:$AA$3,12,0)</f>
        <v>-2.9999999999999997E-4</v>
      </c>
      <c r="D23" s="20">
        <f>B23*C23</f>
        <v>-0.105</v>
      </c>
      <c r="E23" s="70">
        <f t="shared" si="0"/>
        <v>350</v>
      </c>
      <c r="F23" s="75">
        <f>VLOOKUP($B$3,'Data for Bill Impacts'!$A$3:$AA$3,23,0)</f>
        <v>-2.0000000000000001E-4</v>
      </c>
      <c r="G23" s="20">
        <f>E23*F23</f>
        <v>-7.0000000000000007E-2</v>
      </c>
      <c r="H23" s="20">
        <f t="shared" si="1"/>
        <v>3.4999999999999989E-2</v>
      </c>
      <c r="I23" s="21">
        <f>IF(ISERROR(H23/D23),0,(H23/D23))</f>
        <v>-0.33333333333333326</v>
      </c>
      <c r="J23" s="21">
        <f t="shared" si="5"/>
        <v>-8.4709653919444678E-4</v>
      </c>
      <c r="K23" s="85">
        <f t="shared" si="4"/>
        <v>-8.1361146892951848E-4</v>
      </c>
    </row>
    <row r="24" spans="1:11" x14ac:dyDescent="0.2">
      <c r="A24" s="98" t="s">
        <v>64</v>
      </c>
      <c r="B24" s="70">
        <f>IF($B$9="kWh",$B$4,$B$5)</f>
        <v>350</v>
      </c>
      <c r="C24" s="75">
        <f>VLOOKUP($B$3,'Data for Bill Impacts'!$A$3:$AA$3,13,0)</f>
        <v>8.9999999999999998E-4</v>
      </c>
      <c r="D24" s="20">
        <f>B24*C24</f>
        <v>0.315</v>
      </c>
      <c r="E24" s="70">
        <f t="shared" ref="E24" si="10">B24</f>
        <v>350</v>
      </c>
      <c r="F24" s="75">
        <f>VLOOKUP($B$3,'Data for Bill Impacts'!$A$3:$AA$3,24,0)</f>
        <v>8.9999999999999998E-4</v>
      </c>
      <c r="G24" s="20">
        <f>E24*F24</f>
        <v>0.315</v>
      </c>
      <c r="H24" s="20">
        <f t="shared" ref="H24" si="11">G24-D24</f>
        <v>0</v>
      </c>
      <c r="I24" s="21">
        <f>IF(ISERROR(H24/D24),0,(H24/D24))</f>
        <v>0</v>
      </c>
      <c r="J24" s="21">
        <f t="shared" si="5"/>
        <v>3.8119344263750103E-3</v>
      </c>
      <c r="K24" s="85">
        <f t="shared" si="4"/>
        <v>3.661251610182833E-3</v>
      </c>
    </row>
    <row r="25" spans="1:11" x14ac:dyDescent="0.2">
      <c r="A25" s="98" t="s">
        <v>55</v>
      </c>
      <c r="B25" s="70">
        <f>IF($B$9="kWh",$B$4,$B$5)</f>
        <v>350</v>
      </c>
      <c r="C25" s="75">
        <f>VLOOKUP($B$3,'Data for Bill Impacts'!$A$3:$AA$3,14,0)</f>
        <v>2.0000000000000001E-4</v>
      </c>
      <c r="D25" s="20">
        <f>B25*C25</f>
        <v>7.0000000000000007E-2</v>
      </c>
      <c r="E25" s="70">
        <f t="shared" si="0"/>
        <v>350</v>
      </c>
      <c r="F25" s="75">
        <f>VLOOKUP($B$3,'Data for Bill Impacts'!$A$3:$AA$3,25,0)</f>
        <v>2.0000000000000001E-4</v>
      </c>
      <c r="G25" s="20">
        <f>E25*F25</f>
        <v>7.0000000000000007E-2</v>
      </c>
      <c r="H25" s="20">
        <f t="shared" ref="H25" si="12">G25-D25</f>
        <v>0</v>
      </c>
      <c r="I25" s="21">
        <f>IF(ISERROR(H25/D25),0,(H25/D25))</f>
        <v>0</v>
      </c>
      <c r="J25" s="21">
        <f t="shared" si="5"/>
        <v>8.4709653919444678E-4</v>
      </c>
      <c r="K25" s="85">
        <f t="shared" si="4"/>
        <v>8.1361146892951848E-4</v>
      </c>
    </row>
    <row r="26" spans="1:11" s="1" customFormat="1" x14ac:dyDescent="0.2">
      <c r="A26" s="87" t="s">
        <v>43</v>
      </c>
      <c r="B26" s="71"/>
      <c r="C26" s="33"/>
      <c r="D26" s="33">
        <f>SUM(D19:D25)</f>
        <v>29.500000000000004</v>
      </c>
      <c r="E26" s="70"/>
      <c r="F26" s="33"/>
      <c r="G26" s="33">
        <f>SUM(G19:G25)</f>
        <v>31.565000000000001</v>
      </c>
      <c r="H26" s="33">
        <f t="shared" si="1"/>
        <v>2.0649999999999977</v>
      </c>
      <c r="I26" s="34">
        <f t="shared" si="2"/>
        <v>6.999999999999991E-2</v>
      </c>
      <c r="J26" s="34">
        <f t="shared" si="5"/>
        <v>0.38198003228103872</v>
      </c>
      <c r="K26" s="88">
        <f t="shared" si="4"/>
        <v>0.36688065738228931</v>
      </c>
    </row>
    <row r="27" spans="1:11" s="1" customFormat="1" x14ac:dyDescent="0.2">
      <c r="A27" s="99" t="s">
        <v>44</v>
      </c>
      <c r="B27" s="89">
        <v>1</v>
      </c>
      <c r="C27" s="75">
        <f>VLOOKUP($B$3,'Data for Bill Impacts'!$A$3:$AA$3,9,0)</f>
        <v>0.79</v>
      </c>
      <c r="D27" s="20">
        <f>B27*C27</f>
        <v>0.79</v>
      </c>
      <c r="E27" s="70">
        <v>1</v>
      </c>
      <c r="F27" s="75">
        <f>VLOOKUP($B$3,'Data for Bill Impacts'!$A$3:$AA$3,20,0)</f>
        <v>0.79</v>
      </c>
      <c r="G27" s="20">
        <f>E27*F27</f>
        <v>0.79</v>
      </c>
      <c r="H27" s="20">
        <f t="shared" si="1"/>
        <v>0</v>
      </c>
      <c r="I27" s="21">
        <f>IF(ISERROR(H27/D27),0,(H27/D27))</f>
        <v>0</v>
      </c>
      <c r="J27" s="21">
        <f t="shared" si="5"/>
        <v>9.5600895137658987E-3</v>
      </c>
      <c r="K27" s="85">
        <f t="shared" si="4"/>
        <v>9.1821865779188518E-3</v>
      </c>
    </row>
    <row r="28" spans="1:11" s="1" customFormat="1" x14ac:dyDescent="0.2">
      <c r="A28" s="99" t="s">
        <v>46</v>
      </c>
      <c r="B28" s="89">
        <f>B8-B4</f>
        <v>19.740000000000009</v>
      </c>
      <c r="C28" s="90">
        <f>IF(B4&gt;B7,C13,C12)</f>
        <v>9.4E-2</v>
      </c>
      <c r="D28" s="20">
        <f>B28*C28</f>
        <v>1.8555600000000008</v>
      </c>
      <c r="E28" s="70">
        <f>B28</f>
        <v>19.740000000000009</v>
      </c>
      <c r="F28" s="90">
        <f>C28</f>
        <v>9.4E-2</v>
      </c>
      <c r="G28" s="20">
        <f>E28*F28</f>
        <v>1.8555600000000008</v>
      </c>
      <c r="H28" s="20">
        <f t="shared" ref="H28:H30" si="13">G28-D28</f>
        <v>0</v>
      </c>
      <c r="I28" s="21">
        <f>IF(ISERROR(H28/D28),0,(H28/D28))</f>
        <v>0</v>
      </c>
      <c r="J28" s="21">
        <f t="shared" si="5"/>
        <v>2.2454835060966401E-2</v>
      </c>
      <c r="K28" s="85">
        <f t="shared" si="4"/>
        <v>2.1567212818383683E-2</v>
      </c>
    </row>
    <row r="29" spans="1:11" s="1" customFormat="1" x14ac:dyDescent="0.2">
      <c r="A29" s="99" t="s">
        <v>45</v>
      </c>
      <c r="B29" s="89">
        <f>B8-B4</f>
        <v>19.740000000000009</v>
      </c>
      <c r="C29" s="90">
        <f>0.64*C15+0.18*C16+0.18*C17</f>
        <v>0.10214000000000001</v>
      </c>
      <c r="D29" s="20">
        <f>B29*C29</f>
        <v>2.016243600000001</v>
      </c>
      <c r="E29" s="70">
        <f>B29</f>
        <v>19.740000000000009</v>
      </c>
      <c r="F29" s="90">
        <f>C29</f>
        <v>0.10214000000000001</v>
      </c>
      <c r="G29" s="20">
        <f>E29*F29</f>
        <v>2.016243600000001</v>
      </c>
      <c r="H29" s="20">
        <f t="shared" ref="H29" si="14">G29-D29</f>
        <v>0</v>
      </c>
      <c r="I29" s="21">
        <f>IF(ISERROR(H29/D29),0,(H29/D29))</f>
        <v>0</v>
      </c>
      <c r="J29" s="21">
        <f t="shared" si="5"/>
        <v>2.4399328224756475E-2</v>
      </c>
      <c r="K29" s="85">
        <f t="shared" si="4"/>
        <v>2.3434841673082019E-2</v>
      </c>
    </row>
    <row r="30" spans="1:11" s="1" customFormat="1" x14ac:dyDescent="0.2">
      <c r="A30" s="87" t="s">
        <v>49</v>
      </c>
      <c r="B30" s="71"/>
      <c r="C30" s="33"/>
      <c r="D30" s="33">
        <f>SUM(D26,D27:D28)</f>
        <v>32.145560000000003</v>
      </c>
      <c r="E30" s="70"/>
      <c r="F30" s="33"/>
      <c r="G30" s="33">
        <f>SUM(G26,G27:G28)</f>
        <v>34.210560000000008</v>
      </c>
      <c r="H30" s="33">
        <f t="shared" si="13"/>
        <v>2.0650000000000048</v>
      </c>
      <c r="I30" s="34">
        <f>IF(ISERROR(H30/D30),0,(H30/D30))</f>
        <v>6.4239042654724465E-2</v>
      </c>
      <c r="J30" s="34">
        <f t="shared" si="5"/>
        <v>0.41399495685577109</v>
      </c>
      <c r="K30" s="88">
        <f t="shared" si="4"/>
        <v>0.39763005677859192</v>
      </c>
    </row>
    <row r="31" spans="1:11" s="1" customFormat="1" x14ac:dyDescent="0.2">
      <c r="A31" s="87" t="s">
        <v>48</v>
      </c>
      <c r="B31" s="71"/>
      <c r="C31" s="33"/>
      <c r="D31" s="33">
        <f>SUM(D26,D27,D29)</f>
        <v>32.306243600000002</v>
      </c>
      <c r="E31" s="70"/>
      <c r="F31" s="33"/>
      <c r="G31" s="33">
        <f>SUM(G26,G27,G29)</f>
        <v>34.371243600000007</v>
      </c>
      <c r="H31" s="33">
        <f t="shared" ref="H31" si="15">G31-D31</f>
        <v>2.0650000000000048</v>
      </c>
      <c r="I31" s="34">
        <f>IF(ISERROR(H31/D31),0,(H31/D31))</f>
        <v>6.3919532879396876E-2</v>
      </c>
      <c r="J31" s="34">
        <f t="shared" si="5"/>
        <v>0.41593945001956117</v>
      </c>
      <c r="K31" s="88">
        <f t="shared" si="4"/>
        <v>0.39949768563329019</v>
      </c>
    </row>
    <row r="32" spans="1:11" x14ac:dyDescent="0.2">
      <c r="A32" s="98" t="s">
        <v>26</v>
      </c>
      <c r="B32" s="70">
        <f>B8</f>
        <v>369.74</v>
      </c>
      <c r="C32" s="75">
        <f>VLOOKUP($B$3,'Data for Bill Impacts'!$A$3:$AA$3,15,0)</f>
        <v>6.7000000000000002E-3</v>
      </c>
      <c r="D32" s="20">
        <f>B32*C32</f>
        <v>2.477258</v>
      </c>
      <c r="E32" s="70">
        <f t="shared" si="0"/>
        <v>369.74</v>
      </c>
      <c r="F32" s="75">
        <f>VLOOKUP($B$3,'Data for Bill Impacts'!$A$3:$AA$3,26,0)</f>
        <v>6.7000000000000002E-3</v>
      </c>
      <c r="G32" s="20">
        <f>E32*F32</f>
        <v>2.477258</v>
      </c>
      <c r="H32" s="20">
        <f t="shared" si="1"/>
        <v>0</v>
      </c>
      <c r="I32" s="21">
        <f t="shared" si="2"/>
        <v>0</v>
      </c>
      <c r="J32" s="21">
        <f t="shared" si="5"/>
        <v>2.9978238264167952E-2</v>
      </c>
      <c r="K32" s="85">
        <f t="shared" si="4"/>
        <v>2.8793221718534299E-2</v>
      </c>
    </row>
    <row r="33" spans="1:11" x14ac:dyDescent="0.2">
      <c r="A33" s="98" t="s">
        <v>27</v>
      </c>
      <c r="B33" s="70">
        <f>B8</f>
        <v>369.74</v>
      </c>
      <c r="C33" s="75">
        <f>VLOOKUP($B$3,'Data for Bill Impacts'!$A$3:$AA$3,16,0)</f>
        <v>3.2000000000000002E-3</v>
      </c>
      <c r="D33" s="20">
        <f>B33*C33</f>
        <v>1.183168</v>
      </c>
      <c r="E33" s="70">
        <f t="shared" si="0"/>
        <v>369.74</v>
      </c>
      <c r="F33" s="75">
        <f>VLOOKUP($B$3,'Data for Bill Impacts'!$A$3:$AA$3,27,0)</f>
        <v>3.2000000000000002E-3</v>
      </c>
      <c r="G33" s="20">
        <f>E33*F33</f>
        <v>1.183168</v>
      </c>
      <c r="H33" s="20">
        <f t="shared" si="1"/>
        <v>0</v>
      </c>
      <c r="I33" s="21">
        <f t="shared" si="2"/>
        <v>0</v>
      </c>
      <c r="J33" s="21">
        <f t="shared" si="5"/>
        <v>1.4317964544080216E-2</v>
      </c>
      <c r="K33" s="85">
        <f t="shared" si="4"/>
        <v>1.3751986492434292E-2</v>
      </c>
    </row>
    <row r="34" spans="1:11" s="1" customFormat="1" x14ac:dyDescent="0.2">
      <c r="A34" s="87" t="s">
        <v>47</v>
      </c>
      <c r="B34" s="71"/>
      <c r="C34" s="33"/>
      <c r="D34" s="33">
        <f>SUM(D32:D33)</f>
        <v>3.6604260000000002</v>
      </c>
      <c r="E34" s="70"/>
      <c r="F34" s="33"/>
      <c r="G34" s="33">
        <f>SUM(G32:G33)</f>
        <v>3.6604260000000002</v>
      </c>
      <c r="H34" s="33">
        <f t="shared" si="1"/>
        <v>0</v>
      </c>
      <c r="I34" s="34">
        <f t="shared" si="2"/>
        <v>0</v>
      </c>
      <c r="J34" s="34">
        <f t="shared" si="5"/>
        <v>4.429620280824817E-2</v>
      </c>
      <c r="K34" s="88">
        <f t="shared" si="4"/>
        <v>4.2545208210968598E-2</v>
      </c>
    </row>
    <row r="35" spans="1:11" s="1" customFormat="1" x14ac:dyDescent="0.2">
      <c r="A35" s="87" t="s">
        <v>51</v>
      </c>
      <c r="B35" s="71"/>
      <c r="C35" s="33"/>
      <c r="D35" s="33">
        <f>D30+D34</f>
        <v>35.805986000000004</v>
      </c>
      <c r="E35" s="70"/>
      <c r="F35" s="33"/>
      <c r="G35" s="33">
        <f>G30+G34</f>
        <v>37.870986000000009</v>
      </c>
      <c r="H35" s="33">
        <f t="shared" si="1"/>
        <v>2.0650000000000048</v>
      </c>
      <c r="I35" s="34">
        <f t="shared" si="2"/>
        <v>5.7671921113972527E-2</v>
      </c>
      <c r="J35" s="34">
        <f t="shared" si="5"/>
        <v>0.45829115966401929</v>
      </c>
      <c r="K35" s="88">
        <f t="shared" si="4"/>
        <v>0.4401752649895605</v>
      </c>
    </row>
    <row r="36" spans="1:11" s="1" customFormat="1" x14ac:dyDescent="0.2">
      <c r="A36" s="87" t="s">
        <v>52</v>
      </c>
      <c r="B36" s="71"/>
      <c r="C36" s="33"/>
      <c r="D36" s="33">
        <f>D31+D34</f>
        <v>35.966669600000003</v>
      </c>
      <c r="E36" s="70"/>
      <c r="F36" s="33"/>
      <c r="G36" s="33">
        <f>G31+G34</f>
        <v>38.031669600000008</v>
      </c>
      <c r="H36" s="33">
        <f t="shared" ref="H36" si="16">G36-D36</f>
        <v>2.0650000000000048</v>
      </c>
      <c r="I36" s="34">
        <f t="shared" ref="I36" si="17">IF(ISERROR(H36/D36),0,(H36/D36))</f>
        <v>5.7414267791978287E-2</v>
      </c>
      <c r="J36" s="34">
        <f t="shared" ref="J36" si="18">G36/$G$43</f>
        <v>0.46023565282780937</v>
      </c>
      <c r="K36" s="88">
        <f t="shared" ref="K36" si="19">G36/$G$46</f>
        <v>0.44204289384425882</v>
      </c>
    </row>
    <row r="37" spans="1:11" x14ac:dyDescent="0.2">
      <c r="A37" s="84" t="s">
        <v>28</v>
      </c>
      <c r="B37" s="70">
        <f>B8</f>
        <v>369.74</v>
      </c>
      <c r="C37" s="32">
        <v>4.4000000000000003E-3</v>
      </c>
      <c r="D37" s="20">
        <f>B37*C37</f>
        <v>1.6268560000000001</v>
      </c>
      <c r="E37" s="70">
        <f t="shared" si="0"/>
        <v>369.74</v>
      </c>
      <c r="F37" s="32">
        <v>4.4000000000000003E-3</v>
      </c>
      <c r="G37" s="20">
        <f>E37*F37</f>
        <v>1.6268560000000001</v>
      </c>
      <c r="H37" s="20">
        <f t="shared" si="1"/>
        <v>0</v>
      </c>
      <c r="I37" s="21">
        <f t="shared" si="2"/>
        <v>0</v>
      </c>
      <c r="J37" s="21">
        <f t="shared" ref="J37:J43" si="20">G37/$G$43</f>
        <v>1.9687201248110298E-2</v>
      </c>
      <c r="K37" s="85">
        <f>G37/$G$46</f>
        <v>1.8908981427097155E-2</v>
      </c>
    </row>
    <row r="38" spans="1:11" x14ac:dyDescent="0.2">
      <c r="A38" s="84" t="s">
        <v>29</v>
      </c>
      <c r="B38" s="70">
        <f>B8</f>
        <v>369.74</v>
      </c>
      <c r="C38" s="32">
        <v>1.2999999999999999E-3</v>
      </c>
      <c r="D38" s="20">
        <f>B38*C38</f>
        <v>0.48066199999999998</v>
      </c>
      <c r="E38" s="70">
        <f t="shared" si="0"/>
        <v>369.74</v>
      </c>
      <c r="F38" s="32">
        <v>1.2999999999999999E-3</v>
      </c>
      <c r="G38" s="20">
        <f>E38*F38</f>
        <v>0.48066199999999998</v>
      </c>
      <c r="H38" s="20">
        <f>G38-D38</f>
        <v>0</v>
      </c>
      <c r="I38" s="21">
        <f t="shared" si="2"/>
        <v>0</v>
      </c>
      <c r="J38" s="21">
        <f t="shared" si="20"/>
        <v>5.8166730960325878E-3</v>
      </c>
      <c r="K38" s="85">
        <f>G38/$G$46</f>
        <v>5.5867445125514312E-3</v>
      </c>
    </row>
    <row r="39" spans="1:11" x14ac:dyDescent="0.2">
      <c r="A39" s="84" t="s">
        <v>30</v>
      </c>
      <c r="B39" s="70">
        <v>1</v>
      </c>
      <c r="C39" s="20">
        <v>0.25</v>
      </c>
      <c r="D39" s="20">
        <f>B39*C39</f>
        <v>0.25</v>
      </c>
      <c r="E39" s="70">
        <f t="shared" si="0"/>
        <v>1</v>
      </c>
      <c r="F39" s="20">
        <f>C39</f>
        <v>0.25</v>
      </c>
      <c r="G39" s="20">
        <f>E39*F39</f>
        <v>0.25</v>
      </c>
      <c r="H39" s="20">
        <f t="shared" si="1"/>
        <v>0</v>
      </c>
      <c r="I39" s="21">
        <f t="shared" si="2"/>
        <v>0</v>
      </c>
      <c r="J39" s="21">
        <f t="shared" si="20"/>
        <v>3.0253447828373099E-3</v>
      </c>
      <c r="K39" s="85">
        <f>G39/$G$46</f>
        <v>2.9057552461768514E-3</v>
      </c>
    </row>
    <row r="40" spans="1:11" s="1" customFormat="1" ht="13.5" thickBot="1" x14ac:dyDescent="0.25">
      <c r="A40" s="87" t="s">
        <v>31</v>
      </c>
      <c r="B40" s="71"/>
      <c r="C40" s="33"/>
      <c r="D40" s="33">
        <f>SUM(D37:D39)</f>
        <v>2.3575180000000002</v>
      </c>
      <c r="E40" s="70"/>
      <c r="F40" s="33"/>
      <c r="G40" s="33">
        <f>SUM(G37:G39)</f>
        <v>2.3575180000000002</v>
      </c>
      <c r="H40" s="33">
        <f t="shared" si="1"/>
        <v>0</v>
      </c>
      <c r="I40" s="34">
        <f t="shared" si="2"/>
        <v>0</v>
      </c>
      <c r="J40" s="34">
        <f t="shared" si="20"/>
        <v>2.8529219126980199E-2</v>
      </c>
      <c r="K40" s="88">
        <f>G40/$G$46</f>
        <v>2.7401481185825437E-2</v>
      </c>
    </row>
    <row r="41" spans="1:11" s="1" customFormat="1" x14ac:dyDescent="0.2">
      <c r="A41" s="35" t="s">
        <v>54</v>
      </c>
      <c r="B41" s="36"/>
      <c r="C41" s="37"/>
      <c r="D41" s="37">
        <f>SUM(D14,D26,D27,D28,D34,D40)</f>
        <v>71.063504000000009</v>
      </c>
      <c r="E41" s="36"/>
      <c r="F41" s="37"/>
      <c r="G41" s="37">
        <f>SUM(G14,G26,G27,G28,G34,G40)</f>
        <v>73.128504000000007</v>
      </c>
      <c r="H41" s="37">
        <f t="shared" si="1"/>
        <v>2.0649999999999977</v>
      </c>
      <c r="I41" s="38">
        <f>IF(ISERROR(H41/D41),0,(H41/D41))</f>
        <v>2.9058516450300529E-2</v>
      </c>
      <c r="J41" s="38">
        <f t="shared" si="20"/>
        <v>0.88495575221238942</v>
      </c>
      <c r="K41" s="39"/>
    </row>
    <row r="42" spans="1:11" x14ac:dyDescent="0.2">
      <c r="A42" s="40" t="s">
        <v>32</v>
      </c>
      <c r="B42" s="41"/>
      <c r="C42" s="24">
        <v>0.13</v>
      </c>
      <c r="D42" s="24">
        <f>D41*C42</f>
        <v>9.2382555200000009</v>
      </c>
      <c r="E42" s="24"/>
      <c r="F42" s="24">
        <f>C42</f>
        <v>0.13</v>
      </c>
      <c r="G42" s="24">
        <f>G41*F42</f>
        <v>9.5067055200000006</v>
      </c>
      <c r="H42" s="24">
        <f t="shared" si="1"/>
        <v>0.26844999999999963</v>
      </c>
      <c r="I42" s="42">
        <f t="shared" si="2"/>
        <v>2.9058516450300522E-2</v>
      </c>
      <c r="J42" s="42">
        <f t="shared" si="20"/>
        <v>0.11504424778761062</v>
      </c>
      <c r="K42" s="43"/>
    </row>
    <row r="43" spans="1:11" s="1" customFormat="1" ht="13.5" thickBot="1" x14ac:dyDescent="0.25">
      <c r="A43" s="45" t="s">
        <v>68</v>
      </c>
      <c r="B43" s="46"/>
      <c r="C43" s="47"/>
      <c r="D43" s="47">
        <f>SUM(D41:D42)</f>
        <v>80.301759520000004</v>
      </c>
      <c r="E43" s="47"/>
      <c r="F43" s="47"/>
      <c r="G43" s="47">
        <f>SUM(G41:G42)</f>
        <v>82.635209520000004</v>
      </c>
      <c r="H43" s="47">
        <f t="shared" si="1"/>
        <v>2.3334499999999991</v>
      </c>
      <c r="I43" s="48">
        <f t="shared" si="2"/>
        <v>2.9058516450300553E-2</v>
      </c>
      <c r="J43" s="48">
        <f t="shared" si="20"/>
        <v>1</v>
      </c>
      <c r="K43" s="49"/>
    </row>
    <row r="44" spans="1:11" x14ac:dyDescent="0.2">
      <c r="A44" s="50" t="s">
        <v>33</v>
      </c>
      <c r="B44" s="51"/>
      <c r="C44" s="52"/>
      <c r="D44" s="52">
        <f>SUM(D18,D26,D27,D29,D34,D40)</f>
        <v>74.073187600000011</v>
      </c>
      <c r="E44" s="52"/>
      <c r="F44" s="52"/>
      <c r="G44" s="52">
        <f>SUM(G18,G26,G27,G29,G34,G40)</f>
        <v>76.138187600000009</v>
      </c>
      <c r="H44" s="52">
        <f>G44-D44</f>
        <v>2.0649999999999977</v>
      </c>
      <c r="I44" s="53">
        <f>IF(ISERROR(H44/D44),0,(H44/D44))</f>
        <v>2.7877833625186092E-2</v>
      </c>
      <c r="J44" s="53"/>
      <c r="K44" s="54">
        <f>G44/$G$46</f>
        <v>0.88495575221238931</v>
      </c>
    </row>
    <row r="45" spans="1:11" x14ac:dyDescent="0.2">
      <c r="A45" s="55" t="s">
        <v>32</v>
      </c>
      <c r="B45" s="56"/>
      <c r="C45" s="29">
        <v>0.13</v>
      </c>
      <c r="D45" s="29">
        <f>D44*C45</f>
        <v>9.6295143880000023</v>
      </c>
      <c r="E45" s="29"/>
      <c r="F45" s="29">
        <f>C45</f>
        <v>0.13</v>
      </c>
      <c r="G45" s="29">
        <f>G44*F45</f>
        <v>9.8979643880000019</v>
      </c>
      <c r="H45" s="29">
        <f>G45-D45</f>
        <v>0.26844999999999963</v>
      </c>
      <c r="I45" s="30">
        <f>IF(ISERROR(H45/D45),0,(H45/D45))</f>
        <v>2.7877833625186081E-2</v>
      </c>
      <c r="J45" s="30"/>
      <c r="K45" s="57">
        <f>G45/$G$46</f>
        <v>0.11504424778761062</v>
      </c>
    </row>
    <row r="46" spans="1:11" ht="13.5" thickBot="1" x14ac:dyDescent="0.25">
      <c r="A46" s="60" t="s">
        <v>67</v>
      </c>
      <c r="B46" s="61"/>
      <c r="C46" s="62"/>
      <c r="D46" s="62">
        <f>SUM(D44:D45)</f>
        <v>83.702701988000015</v>
      </c>
      <c r="E46" s="62"/>
      <c r="F46" s="62"/>
      <c r="G46" s="62">
        <f>SUM(G44:G45)</f>
        <v>86.036151988000015</v>
      </c>
      <c r="H46" s="62">
        <f>G46-D46</f>
        <v>2.3334499999999991</v>
      </c>
      <c r="I46" s="63">
        <f>IF(ISERROR(H46/D46),0,(H46/D46))</f>
        <v>2.7877833625186109E-2</v>
      </c>
      <c r="J46" s="63"/>
      <c r="K46" s="64">
        <f>G46/$G$46</f>
        <v>1</v>
      </c>
    </row>
    <row r="47" spans="1:11" x14ac:dyDescent="0.2">
      <c r="C47" s="65"/>
      <c r="F47" s="66"/>
    </row>
    <row r="48" spans="1:11" x14ac:dyDescent="0.2">
      <c r="F48" s="66"/>
    </row>
    <row r="49" spans="1:6" x14ac:dyDescent="0.2">
      <c r="F49" s="66"/>
    </row>
    <row r="50" spans="1:6" x14ac:dyDescent="0.2">
      <c r="A50" s="67"/>
      <c r="B50" s="68"/>
      <c r="F50" s="66"/>
    </row>
    <row r="51" spans="1:6" x14ac:dyDescent="0.2">
      <c r="B51" s="68"/>
      <c r="F51" s="66"/>
    </row>
    <row r="52" spans="1:6" x14ac:dyDescent="0.2">
      <c r="F52" s="66"/>
    </row>
    <row r="53" spans="1:6" x14ac:dyDescent="0.2">
      <c r="D53" s="69"/>
      <c r="F53" s="66"/>
    </row>
    <row r="54" spans="1:6" x14ac:dyDescent="0.2">
      <c r="F54" s="66"/>
    </row>
    <row r="55" spans="1:6" x14ac:dyDescent="0.2">
      <c r="A55" s="67"/>
      <c r="B55" s="68"/>
      <c r="F55" s="66"/>
    </row>
    <row r="56" spans="1:6" x14ac:dyDescent="0.2">
      <c r="B56" s="69"/>
      <c r="D56" s="69"/>
      <c r="F56" s="66"/>
    </row>
    <row r="57" spans="1:6" x14ac:dyDescent="0.2">
      <c r="F57" s="66"/>
    </row>
    <row r="58" spans="1:6" x14ac:dyDescent="0.2">
      <c r="F58" s="66"/>
    </row>
    <row r="59" spans="1:6" x14ac:dyDescent="0.2">
      <c r="F59" s="66"/>
    </row>
    <row r="60" spans="1:6" x14ac:dyDescent="0.2">
      <c r="F60" s="66"/>
    </row>
    <row r="61" spans="1:6" x14ac:dyDescent="0.2">
      <c r="F61" s="66"/>
    </row>
    <row r="62" spans="1:6" x14ac:dyDescent="0.2">
      <c r="F62" s="66"/>
    </row>
    <row r="63" spans="1:6" x14ac:dyDescent="0.2">
      <c r="F63" s="66"/>
    </row>
  </sheetData>
  <mergeCells count="1">
    <mergeCell ref="A1:K1"/>
  </mergeCells>
  <pageMargins left="0.75" right="0.75" top="0.37" bottom="0.43" header="0.5" footer="0.5"/>
  <pageSetup scale="7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for Bill Impacts'!$A$3:$A$3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K63"/>
  <sheetViews>
    <sheetView view="pageBreakPreview" zoomScale="85" zoomScaleNormal="85" zoomScaleSheetLayoutView="85" workbookViewId="0">
      <selection activeCell="A20" sqref="A20"/>
    </sheetView>
  </sheetViews>
  <sheetFormatPr defaultRowHeight="12.75" x14ac:dyDescent="0.2"/>
  <cols>
    <col min="1" max="1" width="63.28515625" customWidth="1"/>
    <col min="2" max="2" width="15.5703125" bestFit="1" customWidth="1"/>
    <col min="3" max="3" width="10.5703125" customWidth="1"/>
    <col min="4" max="4" width="10.5703125" bestFit="1" customWidth="1"/>
    <col min="5" max="5" width="10.42578125" customWidth="1"/>
    <col min="6" max="6" width="10.140625" customWidth="1"/>
    <col min="7" max="7" width="12.28515625" customWidth="1"/>
    <col min="8" max="8" width="10.85546875" bestFit="1" customWidth="1"/>
    <col min="9" max="9" width="11.140625" bestFit="1" customWidth="1"/>
    <col min="10" max="10" width="10.42578125" customWidth="1"/>
    <col min="11" max="11" width="9.140625" style="12"/>
    <col min="257" max="257" width="53.28515625" customWidth="1"/>
    <col min="258" max="258" width="15.5703125" bestFit="1" customWidth="1"/>
    <col min="259" max="259" width="10.5703125" customWidth="1"/>
    <col min="260" max="260" width="10.5703125" bestFit="1" customWidth="1"/>
    <col min="262" max="262" width="10.140625" customWidth="1"/>
    <col min="263" max="263" width="12.28515625" customWidth="1"/>
    <col min="264" max="264" width="10.85546875" bestFit="1" customWidth="1"/>
    <col min="265" max="265" width="11.140625" bestFit="1" customWidth="1"/>
    <col min="266" max="266" width="10.42578125" customWidth="1"/>
    <col min="513" max="513" width="53.28515625" customWidth="1"/>
    <col min="514" max="514" width="15.5703125" bestFit="1" customWidth="1"/>
    <col min="515" max="515" width="10.5703125" customWidth="1"/>
    <col min="516" max="516" width="10.5703125" bestFit="1" customWidth="1"/>
    <col min="518" max="518" width="10.140625" customWidth="1"/>
    <col min="519" max="519" width="12.28515625" customWidth="1"/>
    <col min="520" max="520" width="10.85546875" bestFit="1" customWidth="1"/>
    <col min="521" max="521" width="11.140625" bestFit="1" customWidth="1"/>
    <col min="522" max="522" width="10.42578125" customWidth="1"/>
    <col min="769" max="769" width="53.28515625" customWidth="1"/>
    <col min="770" max="770" width="15.5703125" bestFit="1" customWidth="1"/>
    <col min="771" max="771" width="10.5703125" customWidth="1"/>
    <col min="772" max="772" width="10.5703125" bestFit="1" customWidth="1"/>
    <col min="774" max="774" width="10.140625" customWidth="1"/>
    <col min="775" max="775" width="12.28515625" customWidth="1"/>
    <col min="776" max="776" width="10.85546875" bestFit="1" customWidth="1"/>
    <col min="777" max="777" width="11.140625" bestFit="1" customWidth="1"/>
    <col min="778" max="778" width="10.42578125" customWidth="1"/>
    <col min="1025" max="1025" width="53.28515625" customWidth="1"/>
    <col min="1026" max="1026" width="15.5703125" bestFit="1" customWidth="1"/>
    <col min="1027" max="1027" width="10.5703125" customWidth="1"/>
    <col min="1028" max="1028" width="10.5703125" bestFit="1" customWidth="1"/>
    <col min="1030" max="1030" width="10.140625" customWidth="1"/>
    <col min="1031" max="1031" width="12.28515625" customWidth="1"/>
    <col min="1032" max="1032" width="10.85546875" bestFit="1" customWidth="1"/>
    <col min="1033" max="1033" width="11.140625" bestFit="1" customWidth="1"/>
    <col min="1034" max="1034" width="10.42578125" customWidth="1"/>
    <col min="1281" max="1281" width="53.28515625" customWidth="1"/>
    <col min="1282" max="1282" width="15.5703125" bestFit="1" customWidth="1"/>
    <col min="1283" max="1283" width="10.5703125" customWidth="1"/>
    <col min="1284" max="1284" width="10.5703125" bestFit="1" customWidth="1"/>
    <col min="1286" max="1286" width="10.140625" customWidth="1"/>
    <col min="1287" max="1287" width="12.28515625" customWidth="1"/>
    <col min="1288" max="1288" width="10.85546875" bestFit="1" customWidth="1"/>
    <col min="1289" max="1289" width="11.140625" bestFit="1" customWidth="1"/>
    <col min="1290" max="1290" width="10.42578125" customWidth="1"/>
    <col min="1537" max="1537" width="53.28515625" customWidth="1"/>
    <col min="1538" max="1538" width="15.5703125" bestFit="1" customWidth="1"/>
    <col min="1539" max="1539" width="10.5703125" customWidth="1"/>
    <col min="1540" max="1540" width="10.5703125" bestFit="1" customWidth="1"/>
    <col min="1542" max="1542" width="10.140625" customWidth="1"/>
    <col min="1543" max="1543" width="12.28515625" customWidth="1"/>
    <col min="1544" max="1544" width="10.85546875" bestFit="1" customWidth="1"/>
    <col min="1545" max="1545" width="11.140625" bestFit="1" customWidth="1"/>
    <col min="1546" max="1546" width="10.42578125" customWidth="1"/>
    <col min="1793" max="1793" width="53.28515625" customWidth="1"/>
    <col min="1794" max="1794" width="15.5703125" bestFit="1" customWidth="1"/>
    <col min="1795" max="1795" width="10.5703125" customWidth="1"/>
    <col min="1796" max="1796" width="10.5703125" bestFit="1" customWidth="1"/>
    <col min="1798" max="1798" width="10.140625" customWidth="1"/>
    <col min="1799" max="1799" width="12.28515625" customWidth="1"/>
    <col min="1800" max="1800" width="10.85546875" bestFit="1" customWidth="1"/>
    <col min="1801" max="1801" width="11.140625" bestFit="1" customWidth="1"/>
    <col min="1802" max="1802" width="10.42578125" customWidth="1"/>
    <col min="2049" max="2049" width="53.28515625" customWidth="1"/>
    <col min="2050" max="2050" width="15.5703125" bestFit="1" customWidth="1"/>
    <col min="2051" max="2051" width="10.5703125" customWidth="1"/>
    <col min="2052" max="2052" width="10.5703125" bestFit="1" customWidth="1"/>
    <col min="2054" max="2054" width="10.140625" customWidth="1"/>
    <col min="2055" max="2055" width="12.28515625" customWidth="1"/>
    <col min="2056" max="2056" width="10.85546875" bestFit="1" customWidth="1"/>
    <col min="2057" max="2057" width="11.140625" bestFit="1" customWidth="1"/>
    <col min="2058" max="2058" width="10.42578125" customWidth="1"/>
    <col min="2305" max="2305" width="53.28515625" customWidth="1"/>
    <col min="2306" max="2306" width="15.5703125" bestFit="1" customWidth="1"/>
    <col min="2307" max="2307" width="10.5703125" customWidth="1"/>
    <col min="2308" max="2308" width="10.5703125" bestFit="1" customWidth="1"/>
    <col min="2310" max="2310" width="10.140625" customWidth="1"/>
    <col min="2311" max="2311" width="12.28515625" customWidth="1"/>
    <col min="2312" max="2312" width="10.85546875" bestFit="1" customWidth="1"/>
    <col min="2313" max="2313" width="11.140625" bestFit="1" customWidth="1"/>
    <col min="2314" max="2314" width="10.42578125" customWidth="1"/>
    <col min="2561" max="2561" width="53.28515625" customWidth="1"/>
    <col min="2562" max="2562" width="15.5703125" bestFit="1" customWidth="1"/>
    <col min="2563" max="2563" width="10.5703125" customWidth="1"/>
    <col min="2564" max="2564" width="10.5703125" bestFit="1" customWidth="1"/>
    <col min="2566" max="2566" width="10.140625" customWidth="1"/>
    <col min="2567" max="2567" width="12.28515625" customWidth="1"/>
    <col min="2568" max="2568" width="10.85546875" bestFit="1" customWidth="1"/>
    <col min="2569" max="2569" width="11.140625" bestFit="1" customWidth="1"/>
    <col min="2570" max="2570" width="10.42578125" customWidth="1"/>
    <col min="2817" max="2817" width="53.28515625" customWidth="1"/>
    <col min="2818" max="2818" width="15.5703125" bestFit="1" customWidth="1"/>
    <col min="2819" max="2819" width="10.5703125" customWidth="1"/>
    <col min="2820" max="2820" width="10.5703125" bestFit="1" customWidth="1"/>
    <col min="2822" max="2822" width="10.140625" customWidth="1"/>
    <col min="2823" max="2823" width="12.28515625" customWidth="1"/>
    <col min="2824" max="2824" width="10.85546875" bestFit="1" customWidth="1"/>
    <col min="2825" max="2825" width="11.140625" bestFit="1" customWidth="1"/>
    <col min="2826" max="2826" width="10.42578125" customWidth="1"/>
    <col min="3073" max="3073" width="53.28515625" customWidth="1"/>
    <col min="3074" max="3074" width="15.5703125" bestFit="1" customWidth="1"/>
    <col min="3075" max="3075" width="10.5703125" customWidth="1"/>
    <col min="3076" max="3076" width="10.5703125" bestFit="1" customWidth="1"/>
    <col min="3078" max="3078" width="10.140625" customWidth="1"/>
    <col min="3079" max="3079" width="12.28515625" customWidth="1"/>
    <col min="3080" max="3080" width="10.85546875" bestFit="1" customWidth="1"/>
    <col min="3081" max="3081" width="11.140625" bestFit="1" customWidth="1"/>
    <col min="3082" max="3082" width="10.42578125" customWidth="1"/>
    <col min="3329" max="3329" width="53.28515625" customWidth="1"/>
    <col min="3330" max="3330" width="15.5703125" bestFit="1" customWidth="1"/>
    <col min="3331" max="3331" width="10.5703125" customWidth="1"/>
    <col min="3332" max="3332" width="10.5703125" bestFit="1" customWidth="1"/>
    <col min="3334" max="3334" width="10.140625" customWidth="1"/>
    <col min="3335" max="3335" width="12.28515625" customWidth="1"/>
    <col min="3336" max="3336" width="10.85546875" bestFit="1" customWidth="1"/>
    <col min="3337" max="3337" width="11.140625" bestFit="1" customWidth="1"/>
    <col min="3338" max="3338" width="10.42578125" customWidth="1"/>
    <col min="3585" max="3585" width="53.28515625" customWidth="1"/>
    <col min="3586" max="3586" width="15.5703125" bestFit="1" customWidth="1"/>
    <col min="3587" max="3587" width="10.5703125" customWidth="1"/>
    <col min="3588" max="3588" width="10.5703125" bestFit="1" customWidth="1"/>
    <col min="3590" max="3590" width="10.140625" customWidth="1"/>
    <col min="3591" max="3591" width="12.28515625" customWidth="1"/>
    <col min="3592" max="3592" width="10.85546875" bestFit="1" customWidth="1"/>
    <col min="3593" max="3593" width="11.140625" bestFit="1" customWidth="1"/>
    <col min="3594" max="3594" width="10.42578125" customWidth="1"/>
    <col min="3841" max="3841" width="53.28515625" customWidth="1"/>
    <col min="3842" max="3842" width="15.5703125" bestFit="1" customWidth="1"/>
    <col min="3843" max="3843" width="10.5703125" customWidth="1"/>
    <col min="3844" max="3844" width="10.5703125" bestFit="1" customWidth="1"/>
    <col min="3846" max="3846" width="10.140625" customWidth="1"/>
    <col min="3847" max="3847" width="12.28515625" customWidth="1"/>
    <col min="3848" max="3848" width="10.85546875" bestFit="1" customWidth="1"/>
    <col min="3849" max="3849" width="11.140625" bestFit="1" customWidth="1"/>
    <col min="3850" max="3850" width="10.42578125" customWidth="1"/>
    <col min="4097" max="4097" width="53.28515625" customWidth="1"/>
    <col min="4098" max="4098" width="15.5703125" bestFit="1" customWidth="1"/>
    <col min="4099" max="4099" width="10.5703125" customWidth="1"/>
    <col min="4100" max="4100" width="10.5703125" bestFit="1" customWidth="1"/>
    <col min="4102" max="4102" width="10.140625" customWidth="1"/>
    <col min="4103" max="4103" width="12.28515625" customWidth="1"/>
    <col min="4104" max="4104" width="10.85546875" bestFit="1" customWidth="1"/>
    <col min="4105" max="4105" width="11.140625" bestFit="1" customWidth="1"/>
    <col min="4106" max="4106" width="10.42578125" customWidth="1"/>
    <col min="4353" max="4353" width="53.28515625" customWidth="1"/>
    <col min="4354" max="4354" width="15.5703125" bestFit="1" customWidth="1"/>
    <col min="4355" max="4355" width="10.5703125" customWidth="1"/>
    <col min="4356" max="4356" width="10.5703125" bestFit="1" customWidth="1"/>
    <col min="4358" max="4358" width="10.140625" customWidth="1"/>
    <col min="4359" max="4359" width="12.28515625" customWidth="1"/>
    <col min="4360" max="4360" width="10.85546875" bestFit="1" customWidth="1"/>
    <col min="4361" max="4361" width="11.140625" bestFit="1" customWidth="1"/>
    <col min="4362" max="4362" width="10.42578125" customWidth="1"/>
    <col min="4609" max="4609" width="53.28515625" customWidth="1"/>
    <col min="4610" max="4610" width="15.5703125" bestFit="1" customWidth="1"/>
    <col min="4611" max="4611" width="10.5703125" customWidth="1"/>
    <col min="4612" max="4612" width="10.5703125" bestFit="1" customWidth="1"/>
    <col min="4614" max="4614" width="10.140625" customWidth="1"/>
    <col min="4615" max="4615" width="12.28515625" customWidth="1"/>
    <col min="4616" max="4616" width="10.85546875" bestFit="1" customWidth="1"/>
    <col min="4617" max="4617" width="11.140625" bestFit="1" customWidth="1"/>
    <col min="4618" max="4618" width="10.42578125" customWidth="1"/>
    <col min="4865" max="4865" width="53.28515625" customWidth="1"/>
    <col min="4866" max="4866" width="15.5703125" bestFit="1" customWidth="1"/>
    <col min="4867" max="4867" width="10.5703125" customWidth="1"/>
    <col min="4868" max="4868" width="10.5703125" bestFit="1" customWidth="1"/>
    <col min="4870" max="4870" width="10.140625" customWidth="1"/>
    <col min="4871" max="4871" width="12.28515625" customWidth="1"/>
    <col min="4872" max="4872" width="10.85546875" bestFit="1" customWidth="1"/>
    <col min="4873" max="4873" width="11.140625" bestFit="1" customWidth="1"/>
    <col min="4874" max="4874" width="10.42578125" customWidth="1"/>
    <col min="5121" max="5121" width="53.28515625" customWidth="1"/>
    <col min="5122" max="5122" width="15.5703125" bestFit="1" customWidth="1"/>
    <col min="5123" max="5123" width="10.5703125" customWidth="1"/>
    <col min="5124" max="5124" width="10.5703125" bestFit="1" customWidth="1"/>
    <col min="5126" max="5126" width="10.140625" customWidth="1"/>
    <col min="5127" max="5127" width="12.28515625" customWidth="1"/>
    <col min="5128" max="5128" width="10.85546875" bestFit="1" customWidth="1"/>
    <col min="5129" max="5129" width="11.140625" bestFit="1" customWidth="1"/>
    <col min="5130" max="5130" width="10.42578125" customWidth="1"/>
    <col min="5377" max="5377" width="53.28515625" customWidth="1"/>
    <col min="5378" max="5378" width="15.5703125" bestFit="1" customWidth="1"/>
    <col min="5379" max="5379" width="10.5703125" customWidth="1"/>
    <col min="5380" max="5380" width="10.5703125" bestFit="1" customWidth="1"/>
    <col min="5382" max="5382" width="10.140625" customWidth="1"/>
    <col min="5383" max="5383" width="12.28515625" customWidth="1"/>
    <col min="5384" max="5384" width="10.85546875" bestFit="1" customWidth="1"/>
    <col min="5385" max="5385" width="11.140625" bestFit="1" customWidth="1"/>
    <col min="5386" max="5386" width="10.42578125" customWidth="1"/>
    <col min="5633" max="5633" width="53.28515625" customWidth="1"/>
    <col min="5634" max="5634" width="15.5703125" bestFit="1" customWidth="1"/>
    <col min="5635" max="5635" width="10.5703125" customWidth="1"/>
    <col min="5636" max="5636" width="10.5703125" bestFit="1" customWidth="1"/>
    <col min="5638" max="5638" width="10.140625" customWidth="1"/>
    <col min="5639" max="5639" width="12.28515625" customWidth="1"/>
    <col min="5640" max="5640" width="10.85546875" bestFit="1" customWidth="1"/>
    <col min="5641" max="5641" width="11.140625" bestFit="1" customWidth="1"/>
    <col min="5642" max="5642" width="10.42578125" customWidth="1"/>
    <col min="5889" max="5889" width="53.28515625" customWidth="1"/>
    <col min="5890" max="5890" width="15.5703125" bestFit="1" customWidth="1"/>
    <col min="5891" max="5891" width="10.5703125" customWidth="1"/>
    <col min="5892" max="5892" width="10.5703125" bestFit="1" customWidth="1"/>
    <col min="5894" max="5894" width="10.140625" customWidth="1"/>
    <col min="5895" max="5895" width="12.28515625" customWidth="1"/>
    <col min="5896" max="5896" width="10.85546875" bestFit="1" customWidth="1"/>
    <col min="5897" max="5897" width="11.140625" bestFit="1" customWidth="1"/>
    <col min="5898" max="5898" width="10.42578125" customWidth="1"/>
    <col min="6145" max="6145" width="53.28515625" customWidth="1"/>
    <col min="6146" max="6146" width="15.5703125" bestFit="1" customWidth="1"/>
    <col min="6147" max="6147" width="10.5703125" customWidth="1"/>
    <col min="6148" max="6148" width="10.5703125" bestFit="1" customWidth="1"/>
    <col min="6150" max="6150" width="10.140625" customWidth="1"/>
    <col min="6151" max="6151" width="12.28515625" customWidth="1"/>
    <col min="6152" max="6152" width="10.85546875" bestFit="1" customWidth="1"/>
    <col min="6153" max="6153" width="11.140625" bestFit="1" customWidth="1"/>
    <col min="6154" max="6154" width="10.42578125" customWidth="1"/>
    <col min="6401" max="6401" width="53.28515625" customWidth="1"/>
    <col min="6402" max="6402" width="15.5703125" bestFit="1" customWidth="1"/>
    <col min="6403" max="6403" width="10.5703125" customWidth="1"/>
    <col min="6404" max="6404" width="10.5703125" bestFit="1" customWidth="1"/>
    <col min="6406" max="6406" width="10.140625" customWidth="1"/>
    <col min="6407" max="6407" width="12.28515625" customWidth="1"/>
    <col min="6408" max="6408" width="10.85546875" bestFit="1" customWidth="1"/>
    <col min="6409" max="6409" width="11.140625" bestFit="1" customWidth="1"/>
    <col min="6410" max="6410" width="10.42578125" customWidth="1"/>
    <col min="6657" max="6657" width="53.28515625" customWidth="1"/>
    <col min="6658" max="6658" width="15.5703125" bestFit="1" customWidth="1"/>
    <col min="6659" max="6659" width="10.5703125" customWidth="1"/>
    <col min="6660" max="6660" width="10.5703125" bestFit="1" customWidth="1"/>
    <col min="6662" max="6662" width="10.140625" customWidth="1"/>
    <col min="6663" max="6663" width="12.28515625" customWidth="1"/>
    <col min="6664" max="6664" width="10.85546875" bestFit="1" customWidth="1"/>
    <col min="6665" max="6665" width="11.140625" bestFit="1" customWidth="1"/>
    <col min="6666" max="6666" width="10.42578125" customWidth="1"/>
    <col min="6913" max="6913" width="53.28515625" customWidth="1"/>
    <col min="6914" max="6914" width="15.5703125" bestFit="1" customWidth="1"/>
    <col min="6915" max="6915" width="10.5703125" customWidth="1"/>
    <col min="6916" max="6916" width="10.5703125" bestFit="1" customWidth="1"/>
    <col min="6918" max="6918" width="10.140625" customWidth="1"/>
    <col min="6919" max="6919" width="12.28515625" customWidth="1"/>
    <col min="6920" max="6920" width="10.85546875" bestFit="1" customWidth="1"/>
    <col min="6921" max="6921" width="11.140625" bestFit="1" customWidth="1"/>
    <col min="6922" max="6922" width="10.42578125" customWidth="1"/>
    <col min="7169" max="7169" width="53.28515625" customWidth="1"/>
    <col min="7170" max="7170" width="15.5703125" bestFit="1" customWidth="1"/>
    <col min="7171" max="7171" width="10.5703125" customWidth="1"/>
    <col min="7172" max="7172" width="10.5703125" bestFit="1" customWidth="1"/>
    <col min="7174" max="7174" width="10.140625" customWidth="1"/>
    <col min="7175" max="7175" width="12.28515625" customWidth="1"/>
    <col min="7176" max="7176" width="10.85546875" bestFit="1" customWidth="1"/>
    <col min="7177" max="7177" width="11.140625" bestFit="1" customWidth="1"/>
    <col min="7178" max="7178" width="10.42578125" customWidth="1"/>
    <col min="7425" max="7425" width="53.28515625" customWidth="1"/>
    <col min="7426" max="7426" width="15.5703125" bestFit="1" customWidth="1"/>
    <col min="7427" max="7427" width="10.5703125" customWidth="1"/>
    <col min="7428" max="7428" width="10.5703125" bestFit="1" customWidth="1"/>
    <col min="7430" max="7430" width="10.140625" customWidth="1"/>
    <col min="7431" max="7431" width="12.28515625" customWidth="1"/>
    <col min="7432" max="7432" width="10.85546875" bestFit="1" customWidth="1"/>
    <col min="7433" max="7433" width="11.140625" bestFit="1" customWidth="1"/>
    <col min="7434" max="7434" width="10.42578125" customWidth="1"/>
    <col min="7681" max="7681" width="53.28515625" customWidth="1"/>
    <col min="7682" max="7682" width="15.5703125" bestFit="1" customWidth="1"/>
    <col min="7683" max="7683" width="10.5703125" customWidth="1"/>
    <col min="7684" max="7684" width="10.5703125" bestFit="1" customWidth="1"/>
    <col min="7686" max="7686" width="10.140625" customWidth="1"/>
    <col min="7687" max="7687" width="12.28515625" customWidth="1"/>
    <col min="7688" max="7688" width="10.85546875" bestFit="1" customWidth="1"/>
    <col min="7689" max="7689" width="11.140625" bestFit="1" customWidth="1"/>
    <col min="7690" max="7690" width="10.42578125" customWidth="1"/>
    <col min="7937" max="7937" width="53.28515625" customWidth="1"/>
    <col min="7938" max="7938" width="15.5703125" bestFit="1" customWidth="1"/>
    <col min="7939" max="7939" width="10.5703125" customWidth="1"/>
    <col min="7940" max="7940" width="10.5703125" bestFit="1" customWidth="1"/>
    <col min="7942" max="7942" width="10.140625" customWidth="1"/>
    <col min="7943" max="7943" width="12.28515625" customWidth="1"/>
    <col min="7944" max="7944" width="10.85546875" bestFit="1" customWidth="1"/>
    <col min="7945" max="7945" width="11.140625" bestFit="1" customWidth="1"/>
    <col min="7946" max="7946" width="10.42578125" customWidth="1"/>
    <col min="8193" max="8193" width="53.28515625" customWidth="1"/>
    <col min="8194" max="8194" width="15.5703125" bestFit="1" customWidth="1"/>
    <col min="8195" max="8195" width="10.5703125" customWidth="1"/>
    <col min="8196" max="8196" width="10.5703125" bestFit="1" customWidth="1"/>
    <col min="8198" max="8198" width="10.140625" customWidth="1"/>
    <col min="8199" max="8199" width="12.28515625" customWidth="1"/>
    <col min="8200" max="8200" width="10.85546875" bestFit="1" customWidth="1"/>
    <col min="8201" max="8201" width="11.140625" bestFit="1" customWidth="1"/>
    <col min="8202" max="8202" width="10.42578125" customWidth="1"/>
    <col min="8449" max="8449" width="53.28515625" customWidth="1"/>
    <col min="8450" max="8450" width="15.5703125" bestFit="1" customWidth="1"/>
    <col min="8451" max="8451" width="10.5703125" customWidth="1"/>
    <col min="8452" max="8452" width="10.5703125" bestFit="1" customWidth="1"/>
    <col min="8454" max="8454" width="10.140625" customWidth="1"/>
    <col min="8455" max="8455" width="12.28515625" customWidth="1"/>
    <col min="8456" max="8456" width="10.85546875" bestFit="1" customWidth="1"/>
    <col min="8457" max="8457" width="11.140625" bestFit="1" customWidth="1"/>
    <col min="8458" max="8458" width="10.42578125" customWidth="1"/>
    <col min="8705" max="8705" width="53.28515625" customWidth="1"/>
    <col min="8706" max="8706" width="15.5703125" bestFit="1" customWidth="1"/>
    <col min="8707" max="8707" width="10.5703125" customWidth="1"/>
    <col min="8708" max="8708" width="10.5703125" bestFit="1" customWidth="1"/>
    <col min="8710" max="8710" width="10.140625" customWidth="1"/>
    <col min="8711" max="8711" width="12.28515625" customWidth="1"/>
    <col min="8712" max="8712" width="10.85546875" bestFit="1" customWidth="1"/>
    <col min="8713" max="8713" width="11.140625" bestFit="1" customWidth="1"/>
    <col min="8714" max="8714" width="10.42578125" customWidth="1"/>
    <col min="8961" max="8961" width="53.28515625" customWidth="1"/>
    <col min="8962" max="8962" width="15.5703125" bestFit="1" customWidth="1"/>
    <col min="8963" max="8963" width="10.5703125" customWidth="1"/>
    <col min="8964" max="8964" width="10.5703125" bestFit="1" customWidth="1"/>
    <col min="8966" max="8966" width="10.140625" customWidth="1"/>
    <col min="8967" max="8967" width="12.28515625" customWidth="1"/>
    <col min="8968" max="8968" width="10.85546875" bestFit="1" customWidth="1"/>
    <col min="8969" max="8969" width="11.140625" bestFit="1" customWidth="1"/>
    <col min="8970" max="8970" width="10.42578125" customWidth="1"/>
    <col min="9217" max="9217" width="53.28515625" customWidth="1"/>
    <col min="9218" max="9218" width="15.5703125" bestFit="1" customWidth="1"/>
    <col min="9219" max="9219" width="10.5703125" customWidth="1"/>
    <col min="9220" max="9220" width="10.5703125" bestFit="1" customWidth="1"/>
    <col min="9222" max="9222" width="10.140625" customWidth="1"/>
    <col min="9223" max="9223" width="12.28515625" customWidth="1"/>
    <col min="9224" max="9224" width="10.85546875" bestFit="1" customWidth="1"/>
    <col min="9225" max="9225" width="11.140625" bestFit="1" customWidth="1"/>
    <col min="9226" max="9226" width="10.42578125" customWidth="1"/>
    <col min="9473" max="9473" width="53.28515625" customWidth="1"/>
    <col min="9474" max="9474" width="15.5703125" bestFit="1" customWidth="1"/>
    <col min="9475" max="9475" width="10.5703125" customWidth="1"/>
    <col min="9476" max="9476" width="10.5703125" bestFit="1" customWidth="1"/>
    <col min="9478" max="9478" width="10.140625" customWidth="1"/>
    <col min="9479" max="9479" width="12.28515625" customWidth="1"/>
    <col min="9480" max="9480" width="10.85546875" bestFit="1" customWidth="1"/>
    <col min="9481" max="9481" width="11.140625" bestFit="1" customWidth="1"/>
    <col min="9482" max="9482" width="10.42578125" customWidth="1"/>
    <col min="9729" max="9729" width="53.28515625" customWidth="1"/>
    <col min="9730" max="9730" width="15.5703125" bestFit="1" customWidth="1"/>
    <col min="9731" max="9731" width="10.5703125" customWidth="1"/>
    <col min="9732" max="9732" width="10.5703125" bestFit="1" customWidth="1"/>
    <col min="9734" max="9734" width="10.140625" customWidth="1"/>
    <col min="9735" max="9735" width="12.28515625" customWidth="1"/>
    <col min="9736" max="9736" width="10.85546875" bestFit="1" customWidth="1"/>
    <col min="9737" max="9737" width="11.140625" bestFit="1" customWidth="1"/>
    <col min="9738" max="9738" width="10.42578125" customWidth="1"/>
    <col min="9985" max="9985" width="53.28515625" customWidth="1"/>
    <col min="9986" max="9986" width="15.5703125" bestFit="1" customWidth="1"/>
    <col min="9987" max="9987" width="10.5703125" customWidth="1"/>
    <col min="9988" max="9988" width="10.5703125" bestFit="1" customWidth="1"/>
    <col min="9990" max="9990" width="10.140625" customWidth="1"/>
    <col min="9991" max="9991" width="12.28515625" customWidth="1"/>
    <col min="9992" max="9992" width="10.85546875" bestFit="1" customWidth="1"/>
    <col min="9993" max="9993" width="11.140625" bestFit="1" customWidth="1"/>
    <col min="9994" max="9994" width="10.42578125" customWidth="1"/>
    <col min="10241" max="10241" width="53.28515625" customWidth="1"/>
    <col min="10242" max="10242" width="15.5703125" bestFit="1" customWidth="1"/>
    <col min="10243" max="10243" width="10.5703125" customWidth="1"/>
    <col min="10244" max="10244" width="10.5703125" bestFit="1" customWidth="1"/>
    <col min="10246" max="10246" width="10.140625" customWidth="1"/>
    <col min="10247" max="10247" width="12.28515625" customWidth="1"/>
    <col min="10248" max="10248" width="10.85546875" bestFit="1" customWidth="1"/>
    <col min="10249" max="10249" width="11.140625" bestFit="1" customWidth="1"/>
    <col min="10250" max="10250" width="10.42578125" customWidth="1"/>
    <col min="10497" max="10497" width="53.28515625" customWidth="1"/>
    <col min="10498" max="10498" width="15.5703125" bestFit="1" customWidth="1"/>
    <col min="10499" max="10499" width="10.5703125" customWidth="1"/>
    <col min="10500" max="10500" width="10.5703125" bestFit="1" customWidth="1"/>
    <col min="10502" max="10502" width="10.140625" customWidth="1"/>
    <col min="10503" max="10503" width="12.28515625" customWidth="1"/>
    <col min="10504" max="10504" width="10.85546875" bestFit="1" customWidth="1"/>
    <col min="10505" max="10505" width="11.140625" bestFit="1" customWidth="1"/>
    <col min="10506" max="10506" width="10.42578125" customWidth="1"/>
    <col min="10753" max="10753" width="53.28515625" customWidth="1"/>
    <col min="10754" max="10754" width="15.5703125" bestFit="1" customWidth="1"/>
    <col min="10755" max="10755" width="10.5703125" customWidth="1"/>
    <col min="10756" max="10756" width="10.5703125" bestFit="1" customWidth="1"/>
    <col min="10758" max="10758" width="10.140625" customWidth="1"/>
    <col min="10759" max="10759" width="12.28515625" customWidth="1"/>
    <col min="10760" max="10760" width="10.85546875" bestFit="1" customWidth="1"/>
    <col min="10761" max="10761" width="11.140625" bestFit="1" customWidth="1"/>
    <col min="10762" max="10762" width="10.42578125" customWidth="1"/>
    <col min="11009" max="11009" width="53.28515625" customWidth="1"/>
    <col min="11010" max="11010" width="15.5703125" bestFit="1" customWidth="1"/>
    <col min="11011" max="11011" width="10.5703125" customWidth="1"/>
    <col min="11012" max="11012" width="10.5703125" bestFit="1" customWidth="1"/>
    <col min="11014" max="11014" width="10.140625" customWidth="1"/>
    <col min="11015" max="11015" width="12.28515625" customWidth="1"/>
    <col min="11016" max="11016" width="10.85546875" bestFit="1" customWidth="1"/>
    <col min="11017" max="11017" width="11.140625" bestFit="1" customWidth="1"/>
    <col min="11018" max="11018" width="10.42578125" customWidth="1"/>
    <col min="11265" max="11265" width="53.28515625" customWidth="1"/>
    <col min="11266" max="11266" width="15.5703125" bestFit="1" customWidth="1"/>
    <col min="11267" max="11267" width="10.5703125" customWidth="1"/>
    <col min="11268" max="11268" width="10.5703125" bestFit="1" customWidth="1"/>
    <col min="11270" max="11270" width="10.140625" customWidth="1"/>
    <col min="11271" max="11271" width="12.28515625" customWidth="1"/>
    <col min="11272" max="11272" width="10.85546875" bestFit="1" customWidth="1"/>
    <col min="11273" max="11273" width="11.140625" bestFit="1" customWidth="1"/>
    <col min="11274" max="11274" width="10.42578125" customWidth="1"/>
    <col min="11521" max="11521" width="53.28515625" customWidth="1"/>
    <col min="11522" max="11522" width="15.5703125" bestFit="1" customWidth="1"/>
    <col min="11523" max="11523" width="10.5703125" customWidth="1"/>
    <col min="11524" max="11524" width="10.5703125" bestFit="1" customWidth="1"/>
    <col min="11526" max="11526" width="10.140625" customWidth="1"/>
    <col min="11527" max="11527" width="12.28515625" customWidth="1"/>
    <col min="11528" max="11528" width="10.85546875" bestFit="1" customWidth="1"/>
    <col min="11529" max="11529" width="11.140625" bestFit="1" customWidth="1"/>
    <col min="11530" max="11530" width="10.42578125" customWidth="1"/>
    <col min="11777" max="11777" width="53.28515625" customWidth="1"/>
    <col min="11778" max="11778" width="15.5703125" bestFit="1" customWidth="1"/>
    <col min="11779" max="11779" width="10.5703125" customWidth="1"/>
    <col min="11780" max="11780" width="10.5703125" bestFit="1" customWidth="1"/>
    <col min="11782" max="11782" width="10.140625" customWidth="1"/>
    <col min="11783" max="11783" width="12.28515625" customWidth="1"/>
    <col min="11784" max="11784" width="10.85546875" bestFit="1" customWidth="1"/>
    <col min="11785" max="11785" width="11.140625" bestFit="1" customWidth="1"/>
    <col min="11786" max="11786" width="10.42578125" customWidth="1"/>
    <col min="12033" max="12033" width="53.28515625" customWidth="1"/>
    <col min="12034" max="12034" width="15.5703125" bestFit="1" customWidth="1"/>
    <col min="12035" max="12035" width="10.5703125" customWidth="1"/>
    <col min="12036" max="12036" width="10.5703125" bestFit="1" customWidth="1"/>
    <col min="12038" max="12038" width="10.140625" customWidth="1"/>
    <col min="12039" max="12039" width="12.28515625" customWidth="1"/>
    <col min="12040" max="12040" width="10.85546875" bestFit="1" customWidth="1"/>
    <col min="12041" max="12041" width="11.140625" bestFit="1" customWidth="1"/>
    <col min="12042" max="12042" width="10.42578125" customWidth="1"/>
    <col min="12289" max="12289" width="53.28515625" customWidth="1"/>
    <col min="12290" max="12290" width="15.5703125" bestFit="1" customWidth="1"/>
    <col min="12291" max="12291" width="10.5703125" customWidth="1"/>
    <col min="12292" max="12292" width="10.5703125" bestFit="1" customWidth="1"/>
    <col min="12294" max="12294" width="10.140625" customWidth="1"/>
    <col min="12295" max="12295" width="12.28515625" customWidth="1"/>
    <col min="12296" max="12296" width="10.85546875" bestFit="1" customWidth="1"/>
    <col min="12297" max="12297" width="11.140625" bestFit="1" customWidth="1"/>
    <col min="12298" max="12298" width="10.42578125" customWidth="1"/>
    <col min="12545" max="12545" width="53.28515625" customWidth="1"/>
    <col min="12546" max="12546" width="15.5703125" bestFit="1" customWidth="1"/>
    <col min="12547" max="12547" width="10.5703125" customWidth="1"/>
    <col min="12548" max="12548" width="10.5703125" bestFit="1" customWidth="1"/>
    <col min="12550" max="12550" width="10.140625" customWidth="1"/>
    <col min="12551" max="12551" width="12.28515625" customWidth="1"/>
    <col min="12552" max="12552" width="10.85546875" bestFit="1" customWidth="1"/>
    <col min="12553" max="12553" width="11.140625" bestFit="1" customWidth="1"/>
    <col min="12554" max="12554" width="10.42578125" customWidth="1"/>
    <col min="12801" max="12801" width="53.28515625" customWidth="1"/>
    <col min="12802" max="12802" width="15.5703125" bestFit="1" customWidth="1"/>
    <col min="12803" max="12803" width="10.5703125" customWidth="1"/>
    <col min="12804" max="12804" width="10.5703125" bestFit="1" customWidth="1"/>
    <col min="12806" max="12806" width="10.140625" customWidth="1"/>
    <col min="12807" max="12807" width="12.28515625" customWidth="1"/>
    <col min="12808" max="12808" width="10.85546875" bestFit="1" customWidth="1"/>
    <col min="12809" max="12809" width="11.140625" bestFit="1" customWidth="1"/>
    <col min="12810" max="12810" width="10.42578125" customWidth="1"/>
    <col min="13057" max="13057" width="53.28515625" customWidth="1"/>
    <col min="13058" max="13058" width="15.5703125" bestFit="1" customWidth="1"/>
    <col min="13059" max="13059" width="10.5703125" customWidth="1"/>
    <col min="13060" max="13060" width="10.5703125" bestFit="1" customWidth="1"/>
    <col min="13062" max="13062" width="10.140625" customWidth="1"/>
    <col min="13063" max="13063" width="12.28515625" customWidth="1"/>
    <col min="13064" max="13064" width="10.85546875" bestFit="1" customWidth="1"/>
    <col min="13065" max="13065" width="11.140625" bestFit="1" customWidth="1"/>
    <col min="13066" max="13066" width="10.42578125" customWidth="1"/>
    <col min="13313" max="13313" width="53.28515625" customWidth="1"/>
    <col min="13314" max="13314" width="15.5703125" bestFit="1" customWidth="1"/>
    <col min="13315" max="13315" width="10.5703125" customWidth="1"/>
    <col min="13316" max="13316" width="10.5703125" bestFit="1" customWidth="1"/>
    <col min="13318" max="13318" width="10.140625" customWidth="1"/>
    <col min="13319" max="13319" width="12.28515625" customWidth="1"/>
    <col min="13320" max="13320" width="10.85546875" bestFit="1" customWidth="1"/>
    <col min="13321" max="13321" width="11.140625" bestFit="1" customWidth="1"/>
    <col min="13322" max="13322" width="10.42578125" customWidth="1"/>
    <col min="13569" max="13569" width="53.28515625" customWidth="1"/>
    <col min="13570" max="13570" width="15.5703125" bestFit="1" customWidth="1"/>
    <col min="13571" max="13571" width="10.5703125" customWidth="1"/>
    <col min="13572" max="13572" width="10.5703125" bestFit="1" customWidth="1"/>
    <col min="13574" max="13574" width="10.140625" customWidth="1"/>
    <col min="13575" max="13575" width="12.28515625" customWidth="1"/>
    <col min="13576" max="13576" width="10.85546875" bestFit="1" customWidth="1"/>
    <col min="13577" max="13577" width="11.140625" bestFit="1" customWidth="1"/>
    <col min="13578" max="13578" width="10.42578125" customWidth="1"/>
    <col min="13825" max="13825" width="53.28515625" customWidth="1"/>
    <col min="13826" max="13826" width="15.5703125" bestFit="1" customWidth="1"/>
    <col min="13827" max="13827" width="10.5703125" customWidth="1"/>
    <col min="13828" max="13828" width="10.5703125" bestFit="1" customWidth="1"/>
    <col min="13830" max="13830" width="10.140625" customWidth="1"/>
    <col min="13831" max="13831" width="12.28515625" customWidth="1"/>
    <col min="13832" max="13832" width="10.85546875" bestFit="1" customWidth="1"/>
    <col min="13833" max="13833" width="11.140625" bestFit="1" customWidth="1"/>
    <col min="13834" max="13834" width="10.42578125" customWidth="1"/>
    <col min="14081" max="14081" width="53.28515625" customWidth="1"/>
    <col min="14082" max="14082" width="15.5703125" bestFit="1" customWidth="1"/>
    <col min="14083" max="14083" width="10.5703125" customWidth="1"/>
    <col min="14084" max="14084" width="10.5703125" bestFit="1" customWidth="1"/>
    <col min="14086" max="14086" width="10.140625" customWidth="1"/>
    <col min="14087" max="14087" width="12.28515625" customWidth="1"/>
    <col min="14088" max="14088" width="10.85546875" bestFit="1" customWidth="1"/>
    <col min="14089" max="14089" width="11.140625" bestFit="1" customWidth="1"/>
    <col min="14090" max="14090" width="10.42578125" customWidth="1"/>
    <col min="14337" max="14337" width="53.28515625" customWidth="1"/>
    <col min="14338" max="14338" width="15.5703125" bestFit="1" customWidth="1"/>
    <col min="14339" max="14339" width="10.5703125" customWidth="1"/>
    <col min="14340" max="14340" width="10.5703125" bestFit="1" customWidth="1"/>
    <col min="14342" max="14342" width="10.140625" customWidth="1"/>
    <col min="14343" max="14343" width="12.28515625" customWidth="1"/>
    <col min="14344" max="14344" width="10.85546875" bestFit="1" customWidth="1"/>
    <col min="14345" max="14345" width="11.140625" bestFit="1" customWidth="1"/>
    <col min="14346" max="14346" width="10.42578125" customWidth="1"/>
    <col min="14593" max="14593" width="53.28515625" customWidth="1"/>
    <col min="14594" max="14594" width="15.5703125" bestFit="1" customWidth="1"/>
    <col min="14595" max="14595" width="10.5703125" customWidth="1"/>
    <col min="14596" max="14596" width="10.5703125" bestFit="1" customWidth="1"/>
    <col min="14598" max="14598" width="10.140625" customWidth="1"/>
    <col min="14599" max="14599" width="12.28515625" customWidth="1"/>
    <col min="14600" max="14600" width="10.85546875" bestFit="1" customWidth="1"/>
    <col min="14601" max="14601" width="11.140625" bestFit="1" customWidth="1"/>
    <col min="14602" max="14602" width="10.42578125" customWidth="1"/>
    <col min="14849" max="14849" width="53.28515625" customWidth="1"/>
    <col min="14850" max="14850" width="15.5703125" bestFit="1" customWidth="1"/>
    <col min="14851" max="14851" width="10.5703125" customWidth="1"/>
    <col min="14852" max="14852" width="10.5703125" bestFit="1" customWidth="1"/>
    <col min="14854" max="14854" width="10.140625" customWidth="1"/>
    <col min="14855" max="14855" width="12.28515625" customWidth="1"/>
    <col min="14856" max="14856" width="10.85546875" bestFit="1" customWidth="1"/>
    <col min="14857" max="14857" width="11.140625" bestFit="1" customWidth="1"/>
    <col min="14858" max="14858" width="10.42578125" customWidth="1"/>
    <col min="15105" max="15105" width="53.28515625" customWidth="1"/>
    <col min="15106" max="15106" width="15.5703125" bestFit="1" customWidth="1"/>
    <col min="15107" max="15107" width="10.5703125" customWidth="1"/>
    <col min="15108" max="15108" width="10.5703125" bestFit="1" customWidth="1"/>
    <col min="15110" max="15110" width="10.140625" customWidth="1"/>
    <col min="15111" max="15111" width="12.28515625" customWidth="1"/>
    <col min="15112" max="15112" width="10.85546875" bestFit="1" customWidth="1"/>
    <col min="15113" max="15113" width="11.140625" bestFit="1" customWidth="1"/>
    <col min="15114" max="15114" width="10.42578125" customWidth="1"/>
    <col min="15361" max="15361" width="53.28515625" customWidth="1"/>
    <col min="15362" max="15362" width="15.5703125" bestFit="1" customWidth="1"/>
    <col min="15363" max="15363" width="10.5703125" customWidth="1"/>
    <col min="15364" max="15364" width="10.5703125" bestFit="1" customWidth="1"/>
    <col min="15366" max="15366" width="10.140625" customWidth="1"/>
    <col min="15367" max="15367" width="12.28515625" customWidth="1"/>
    <col min="15368" max="15368" width="10.85546875" bestFit="1" customWidth="1"/>
    <col min="15369" max="15369" width="11.140625" bestFit="1" customWidth="1"/>
    <col min="15370" max="15370" width="10.42578125" customWidth="1"/>
    <col min="15617" max="15617" width="53.28515625" customWidth="1"/>
    <col min="15618" max="15618" width="15.5703125" bestFit="1" customWidth="1"/>
    <col min="15619" max="15619" width="10.5703125" customWidth="1"/>
    <col min="15620" max="15620" width="10.5703125" bestFit="1" customWidth="1"/>
    <col min="15622" max="15622" width="10.140625" customWidth="1"/>
    <col min="15623" max="15623" width="12.28515625" customWidth="1"/>
    <col min="15624" max="15624" width="10.85546875" bestFit="1" customWidth="1"/>
    <col min="15625" max="15625" width="11.140625" bestFit="1" customWidth="1"/>
    <col min="15626" max="15626" width="10.42578125" customWidth="1"/>
    <col min="15873" max="15873" width="53.28515625" customWidth="1"/>
    <col min="15874" max="15874" width="15.5703125" bestFit="1" customWidth="1"/>
    <col min="15875" max="15875" width="10.5703125" customWidth="1"/>
    <col min="15876" max="15876" width="10.5703125" bestFit="1" customWidth="1"/>
    <col min="15878" max="15878" width="10.140625" customWidth="1"/>
    <col min="15879" max="15879" width="12.28515625" customWidth="1"/>
    <col min="15880" max="15880" width="10.85546875" bestFit="1" customWidth="1"/>
    <col min="15881" max="15881" width="11.140625" bestFit="1" customWidth="1"/>
    <col min="15882" max="15882" width="10.42578125" customWidth="1"/>
    <col min="16129" max="16129" width="53.28515625" customWidth="1"/>
    <col min="16130" max="16130" width="15.5703125" bestFit="1" customWidth="1"/>
    <col min="16131" max="16131" width="10.5703125" customWidth="1"/>
    <col min="16132" max="16132" width="10.5703125" bestFit="1" customWidth="1"/>
    <col min="16134" max="16134" width="10.140625" customWidth="1"/>
    <col min="16135" max="16135" width="12.28515625" customWidth="1"/>
    <col min="16136" max="16136" width="10.85546875" bestFit="1" customWidth="1"/>
    <col min="16137" max="16137" width="11.140625" bestFit="1" customWidth="1"/>
    <col min="16138" max="16138" width="10.42578125" customWidth="1"/>
  </cols>
  <sheetData>
    <row r="1" spans="1:11" ht="16.5" thickBot="1" x14ac:dyDescent="0.3">
      <c r="A1" s="107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3" spans="1:11" x14ac:dyDescent="0.2">
      <c r="A3" s="11" t="s">
        <v>0</v>
      </c>
      <c r="B3" s="11" t="s">
        <v>63</v>
      </c>
    </row>
    <row r="4" spans="1:11" x14ac:dyDescent="0.2">
      <c r="A4" s="13" t="s">
        <v>40</v>
      </c>
      <c r="B4" s="13">
        <v>800</v>
      </c>
    </row>
    <row r="5" spans="1:11" x14ac:dyDescent="0.2">
      <c r="A5" s="13" t="s">
        <v>3</v>
      </c>
      <c r="B5" s="13">
        <f>VLOOKUP($B$3,'Data for Bill Impacts'!$A$3:$Z$3,5,0)</f>
        <v>0</v>
      </c>
    </row>
    <row r="6" spans="1:11" x14ac:dyDescent="0.2">
      <c r="A6" s="13" t="s">
        <v>6</v>
      </c>
      <c r="B6" s="13">
        <f>VLOOKUP($B$3,'Data for Bill Impacts'!$A$3:$Z$3,2,0)</f>
        <v>1.0564</v>
      </c>
    </row>
    <row r="7" spans="1:11" x14ac:dyDescent="0.2">
      <c r="A7" s="13" t="s">
        <v>2</v>
      </c>
      <c r="B7" s="13">
        <f>VLOOKUP($B$3,'Data for Bill Impacts'!$A$3:$Z$3,4,0)</f>
        <v>600</v>
      </c>
    </row>
    <row r="8" spans="1:11" x14ac:dyDescent="0.2">
      <c r="A8" s="13" t="s">
        <v>50</v>
      </c>
      <c r="B8" s="100">
        <f>B4*B6</f>
        <v>845.12</v>
      </c>
    </row>
    <row r="9" spans="1:11" x14ac:dyDescent="0.2">
      <c r="A9" s="13" t="s">
        <v>7</v>
      </c>
      <c r="B9" s="14" t="str">
        <f>VLOOKUP($B$3,'Data for Bill Impacts'!$A$3:$Z$3,6,0)</f>
        <v>kWh</v>
      </c>
    </row>
    <row r="10" spans="1:11" ht="13.5" thickBot="1" x14ac:dyDescent="0.25"/>
    <row r="11" spans="1:11" s="18" customFormat="1" ht="39" thickBot="1" x14ac:dyDescent="0.25">
      <c r="A11" s="15"/>
      <c r="B11" s="16" t="s">
        <v>8</v>
      </c>
      <c r="C11" s="16" t="s">
        <v>9</v>
      </c>
      <c r="D11" s="16" t="s">
        <v>10</v>
      </c>
      <c r="E11" s="16" t="s">
        <v>8</v>
      </c>
      <c r="F11" s="16" t="s">
        <v>11</v>
      </c>
      <c r="G11" s="16" t="s">
        <v>12</v>
      </c>
      <c r="H11" s="16" t="s">
        <v>13</v>
      </c>
      <c r="I11" s="16" t="s">
        <v>14</v>
      </c>
      <c r="J11" s="16" t="s">
        <v>15</v>
      </c>
      <c r="K11" s="17" t="s">
        <v>16</v>
      </c>
    </row>
    <row r="12" spans="1:11" x14ac:dyDescent="0.2">
      <c r="A12" s="78" t="s">
        <v>17</v>
      </c>
      <c r="B12" s="79">
        <f>IF(B4&gt;B7,B7,B4)</f>
        <v>600</v>
      </c>
      <c r="C12" s="80">
        <v>9.4E-2</v>
      </c>
      <c r="D12" s="81">
        <f>B12*C12</f>
        <v>56.4</v>
      </c>
      <c r="E12" s="79">
        <f>B12</f>
        <v>600</v>
      </c>
      <c r="F12" s="80">
        <f>C12</f>
        <v>9.4E-2</v>
      </c>
      <c r="G12" s="81">
        <f>E12*F12</f>
        <v>56.4</v>
      </c>
      <c r="H12" s="81">
        <f>G12-D12</f>
        <v>0</v>
      </c>
      <c r="I12" s="82">
        <f>IF(ISERROR(H12/D12),0,(H12/D12))</f>
        <v>0</v>
      </c>
      <c r="J12" s="82">
        <f>G12/$G$43</f>
        <v>0.36448496886788084</v>
      </c>
      <c r="K12" s="83"/>
    </row>
    <row r="13" spans="1:11" x14ac:dyDescent="0.2">
      <c r="A13" s="84" t="s">
        <v>18</v>
      </c>
      <c r="B13" s="70">
        <f>IF(B4&gt;B7,(B4)-B7,0)</f>
        <v>200</v>
      </c>
      <c r="C13" s="19">
        <v>0.11</v>
      </c>
      <c r="D13" s="20">
        <f>B13*C13</f>
        <v>22</v>
      </c>
      <c r="E13" s="70">
        <f t="shared" ref="E13:E39" si="0">B13</f>
        <v>200</v>
      </c>
      <c r="F13" s="19">
        <f>C13</f>
        <v>0.11</v>
      </c>
      <c r="G13" s="20">
        <f>E13*F13</f>
        <v>22</v>
      </c>
      <c r="H13" s="20">
        <f t="shared" ref="H13:H43" si="1">G13-D13</f>
        <v>0</v>
      </c>
      <c r="I13" s="21">
        <f t="shared" ref="I13:I43" si="2">IF(ISERROR(H13/D13),0,(H13/D13))</f>
        <v>0</v>
      </c>
      <c r="J13" s="21">
        <f>G13/$G$43</f>
        <v>0.14217498785626559</v>
      </c>
      <c r="K13" s="85"/>
    </row>
    <row r="14" spans="1:11" s="1" customFormat="1" x14ac:dyDescent="0.2">
      <c r="A14" s="44" t="s">
        <v>19</v>
      </c>
      <c r="B14" s="22"/>
      <c r="C14" s="23"/>
      <c r="D14" s="23">
        <f>SUM(D12:D13)</f>
        <v>78.400000000000006</v>
      </c>
      <c r="E14" s="73"/>
      <c r="F14" s="23"/>
      <c r="G14" s="23">
        <f>SUM(G12:G13)</f>
        <v>78.400000000000006</v>
      </c>
      <c r="H14" s="23">
        <f t="shared" si="1"/>
        <v>0</v>
      </c>
      <c r="I14" s="25">
        <f t="shared" si="2"/>
        <v>0</v>
      </c>
      <c r="J14" s="25">
        <f>G14/$G$43</f>
        <v>0.50665995672414654</v>
      </c>
      <c r="K14" s="85"/>
    </row>
    <row r="15" spans="1:11" s="1" customFormat="1" x14ac:dyDescent="0.2">
      <c r="A15" s="86" t="s">
        <v>20</v>
      </c>
      <c r="B15" s="72">
        <f>B4*0.64</f>
        <v>512</v>
      </c>
      <c r="C15" s="26">
        <v>0.08</v>
      </c>
      <c r="D15" s="20">
        <f>B15*C15</f>
        <v>40.96</v>
      </c>
      <c r="E15" s="70">
        <f t="shared" ref="E15:F17" si="3">B15</f>
        <v>512</v>
      </c>
      <c r="F15" s="26">
        <f t="shared" si="3"/>
        <v>0.08</v>
      </c>
      <c r="G15" s="20">
        <f>E15*F15</f>
        <v>40.96</v>
      </c>
      <c r="H15" s="20">
        <f t="shared" si="1"/>
        <v>0</v>
      </c>
      <c r="I15" s="21">
        <f t="shared" si="2"/>
        <v>0</v>
      </c>
      <c r="J15" s="21"/>
      <c r="K15" s="85">
        <f t="shared" ref="K15:K35" si="4">G15/$G$46</f>
        <v>0.25910815692625688</v>
      </c>
    </row>
    <row r="16" spans="1:11" s="1" customFormat="1" x14ac:dyDescent="0.2">
      <c r="A16" s="86" t="s">
        <v>21</v>
      </c>
      <c r="B16" s="72">
        <f>B4*0.18</f>
        <v>144</v>
      </c>
      <c r="C16" s="26">
        <v>0.122</v>
      </c>
      <c r="D16" s="20">
        <f>B16*C16</f>
        <v>17.567999999999998</v>
      </c>
      <c r="E16" s="70">
        <f t="shared" si="3"/>
        <v>144</v>
      </c>
      <c r="F16" s="26">
        <f t="shared" si="3"/>
        <v>0.122</v>
      </c>
      <c r="G16" s="20">
        <f>E16*F16</f>
        <v>17.567999999999998</v>
      </c>
      <c r="H16" s="20">
        <f t="shared" si="1"/>
        <v>0</v>
      </c>
      <c r="I16" s="21">
        <f t="shared" si="2"/>
        <v>0</v>
      </c>
      <c r="J16" s="21"/>
      <c r="K16" s="85">
        <f t="shared" si="4"/>
        <v>0.11113310793165233</v>
      </c>
    </row>
    <row r="17" spans="1:11" s="1" customFormat="1" x14ac:dyDescent="0.2">
      <c r="A17" s="86" t="s">
        <v>22</v>
      </c>
      <c r="B17" s="72">
        <f>B4*0.18</f>
        <v>144</v>
      </c>
      <c r="C17" s="26">
        <v>0.161</v>
      </c>
      <c r="D17" s="20">
        <f>B17*C17</f>
        <v>23.184000000000001</v>
      </c>
      <c r="E17" s="70">
        <f t="shared" si="3"/>
        <v>144</v>
      </c>
      <c r="F17" s="26">
        <f t="shared" si="3"/>
        <v>0.161</v>
      </c>
      <c r="G17" s="20">
        <f>E17*F17</f>
        <v>23.184000000000001</v>
      </c>
      <c r="H17" s="20">
        <f t="shared" si="1"/>
        <v>0</v>
      </c>
      <c r="I17" s="21">
        <f t="shared" si="2"/>
        <v>0</v>
      </c>
      <c r="J17" s="21"/>
      <c r="K17" s="85">
        <f t="shared" si="4"/>
        <v>0.14665926538521334</v>
      </c>
    </row>
    <row r="18" spans="1:11" s="1" customFormat="1" x14ac:dyDescent="0.2">
      <c r="A18" s="58" t="s">
        <v>23</v>
      </c>
      <c r="B18" s="27"/>
      <c r="C18" s="28"/>
      <c r="D18" s="28">
        <f>SUM(D15:D17)</f>
        <v>81.712000000000003</v>
      </c>
      <c r="E18" s="74"/>
      <c r="F18" s="28"/>
      <c r="G18" s="28">
        <f>SUM(G15:G17)</f>
        <v>81.712000000000003</v>
      </c>
      <c r="H18" s="29">
        <f t="shared" si="1"/>
        <v>0</v>
      </c>
      <c r="I18" s="30">
        <f t="shared" si="2"/>
        <v>0</v>
      </c>
      <c r="J18" s="31">
        <f t="shared" ref="J18:J35" si="5">G18/$G$43</f>
        <v>0.52806375489596247</v>
      </c>
      <c r="K18" s="59">
        <f t="shared" si="4"/>
        <v>0.51690053024312255</v>
      </c>
    </row>
    <row r="19" spans="1:11" x14ac:dyDescent="0.2">
      <c r="A19" s="98" t="s">
        <v>24</v>
      </c>
      <c r="B19" s="70">
        <v>1</v>
      </c>
      <c r="C19" s="91">
        <f>VLOOKUP($B$3,'Data for Bill Impacts'!$A$3:$AA$3,7,0)</f>
        <v>20.87</v>
      </c>
      <c r="D19" s="20">
        <f>B19*C19</f>
        <v>20.87</v>
      </c>
      <c r="E19" s="70">
        <f t="shared" si="0"/>
        <v>1</v>
      </c>
      <c r="F19" s="91">
        <f>VLOOKUP($B$3,'Data for Bill Impacts'!$A$3:$AA$3,18,0)</f>
        <v>24.85</v>
      </c>
      <c r="G19" s="20">
        <f>E19*F19</f>
        <v>24.85</v>
      </c>
      <c r="H19" s="20">
        <f t="shared" si="1"/>
        <v>3.9800000000000004</v>
      </c>
      <c r="I19" s="21">
        <f t="shared" si="2"/>
        <v>0.19070436032582655</v>
      </c>
      <c r="J19" s="21">
        <f t="shared" si="5"/>
        <v>0.1605931112831</v>
      </c>
      <c r="K19" s="85">
        <f t="shared" si="4"/>
        <v>0.15719818602581745</v>
      </c>
    </row>
    <row r="20" spans="1:11" x14ac:dyDescent="0.2">
      <c r="A20" s="98" t="s">
        <v>74</v>
      </c>
      <c r="B20" s="70">
        <v>1</v>
      </c>
      <c r="C20" s="75">
        <f>VLOOKUP($B$3,'Data for Bill Impacts'!$A$3:$AA$3,8,0)</f>
        <v>1.03</v>
      </c>
      <c r="D20" s="20">
        <f>B20*C20</f>
        <v>1.03</v>
      </c>
      <c r="E20" s="70">
        <f t="shared" si="0"/>
        <v>1</v>
      </c>
      <c r="F20" s="91">
        <f>VLOOKUP($B$3,'Data for Bill Impacts'!$A$3:$AA$3,19,0)</f>
        <v>1.03</v>
      </c>
      <c r="G20" s="20">
        <f t="shared" ref="G20:G21" si="6">E20*F20</f>
        <v>1.03</v>
      </c>
      <c r="H20" s="20">
        <f t="shared" si="1"/>
        <v>0</v>
      </c>
      <c r="I20" s="21">
        <f t="shared" si="2"/>
        <v>0</v>
      </c>
      <c r="J20" s="21">
        <f t="shared" si="5"/>
        <v>6.656374431452435E-3</v>
      </c>
      <c r="K20" s="85">
        <f t="shared" si="4"/>
        <v>6.5156592195811658E-3</v>
      </c>
    </row>
    <row r="21" spans="1:11" x14ac:dyDescent="0.2">
      <c r="A21" s="98" t="s">
        <v>65</v>
      </c>
      <c r="B21" s="70">
        <v>1</v>
      </c>
      <c r="C21" s="75">
        <f>VLOOKUP($B$3,'Data for Bill Impacts'!$A$3:$AA$3,10,0)</f>
        <v>-0.31</v>
      </c>
      <c r="D21" s="20">
        <f t="shared" ref="D21" si="7">B21*C21</f>
        <v>-0.31</v>
      </c>
      <c r="E21" s="70">
        <f t="shared" si="0"/>
        <v>1</v>
      </c>
      <c r="F21" s="91">
        <f>VLOOKUP($B$3,'Data for Bill Impacts'!$A$3:$AA$3,21,0)</f>
        <v>-0.37</v>
      </c>
      <c r="G21" s="20">
        <f t="shared" si="6"/>
        <v>-0.37</v>
      </c>
      <c r="H21" s="20">
        <f t="shared" si="1"/>
        <v>-0.06</v>
      </c>
      <c r="I21" s="21">
        <f t="shared" si="2"/>
        <v>0.19354838709677419</v>
      </c>
      <c r="J21" s="21">
        <f t="shared" si="5"/>
        <v>-2.3911247957644666E-3</v>
      </c>
      <c r="K21" s="85">
        <f t="shared" si="4"/>
        <v>-2.3405766128592538E-3</v>
      </c>
    </row>
    <row r="22" spans="1:11" x14ac:dyDescent="0.2">
      <c r="A22" s="98" t="s">
        <v>25</v>
      </c>
      <c r="B22" s="70">
        <f>IF($B$9="kWh",$B$4,$B$5)</f>
        <v>800</v>
      </c>
      <c r="C22" s="75">
        <f>VLOOKUP($B$3,'Data for Bill Impacts'!$A$3:$AA$3,11,0)</f>
        <v>2.18E-2</v>
      </c>
      <c r="D22" s="20">
        <f>B22*C22</f>
        <v>17.440000000000001</v>
      </c>
      <c r="E22" s="70">
        <f t="shared" si="0"/>
        <v>800</v>
      </c>
      <c r="F22" s="92">
        <f>VLOOKUP($B$3,'Data for Bill Impacts'!$A$3:$AA$3,22,0)</f>
        <v>1.6400000000000001E-2</v>
      </c>
      <c r="G22" s="20">
        <f>E22*F22</f>
        <v>13.120000000000001</v>
      </c>
      <c r="H22" s="20">
        <f t="shared" si="1"/>
        <v>-4.32</v>
      </c>
      <c r="I22" s="21">
        <f t="shared" si="2"/>
        <v>-0.24770642201834861</v>
      </c>
      <c r="J22" s="21">
        <f t="shared" si="5"/>
        <v>8.4787992757918401E-2</v>
      </c>
      <c r="K22" s="85">
        <f t="shared" si="4"/>
        <v>8.299558151544166E-2</v>
      </c>
    </row>
    <row r="23" spans="1:11" x14ac:dyDescent="0.2">
      <c r="A23" s="98" t="s">
        <v>66</v>
      </c>
      <c r="B23" s="70">
        <f>IF($B$9="kWh",$B$4,$B$5)</f>
        <v>800</v>
      </c>
      <c r="C23" s="75">
        <f>VLOOKUP($B$3,'Data for Bill Impacts'!$A$3:$AA$3,12,0)</f>
        <v>-2.9999999999999997E-4</v>
      </c>
      <c r="D23" s="20">
        <f>B23*C23</f>
        <v>-0.24</v>
      </c>
      <c r="E23" s="70">
        <f t="shared" si="0"/>
        <v>800</v>
      </c>
      <c r="F23" s="75">
        <f>VLOOKUP($B$3,'Data for Bill Impacts'!$A$3:$AA$3,23,0)</f>
        <v>-2.0000000000000001E-4</v>
      </c>
      <c r="G23" s="20">
        <f>E23*F23</f>
        <v>-0.16</v>
      </c>
      <c r="H23" s="20">
        <f t="shared" si="1"/>
        <v>7.9999999999999988E-2</v>
      </c>
      <c r="I23" s="21">
        <f>IF(ISERROR(H23/D23),0,(H23/D23))</f>
        <v>-0.33333333333333331</v>
      </c>
      <c r="J23" s="21">
        <f t="shared" si="5"/>
        <v>-1.0339999116819316E-3</v>
      </c>
      <c r="K23" s="85">
        <f t="shared" si="4"/>
        <v>-1.0121412379931909E-3</v>
      </c>
    </row>
    <row r="24" spans="1:11" x14ac:dyDescent="0.2">
      <c r="A24" s="98" t="s">
        <v>64</v>
      </c>
      <c r="B24" s="70">
        <f>IF($B$9="kWh",$B$4,$B$5)</f>
        <v>800</v>
      </c>
      <c r="C24" s="75">
        <f>VLOOKUP($B$3,'Data for Bill Impacts'!$A$3:$AA$3,13,0)</f>
        <v>8.9999999999999998E-4</v>
      </c>
      <c r="D24" s="20">
        <f>B24*C24</f>
        <v>0.72</v>
      </c>
      <c r="E24" s="70">
        <f t="shared" si="0"/>
        <v>800</v>
      </c>
      <c r="F24" s="75">
        <f>VLOOKUP($B$3,'Data for Bill Impacts'!$A$3:$AA$3,24,0)</f>
        <v>8.9999999999999998E-4</v>
      </c>
      <c r="G24" s="20">
        <f>E24*F24</f>
        <v>0.72</v>
      </c>
      <c r="H24" s="20">
        <f t="shared" si="1"/>
        <v>0</v>
      </c>
      <c r="I24" s="21">
        <f>IF(ISERROR(H24/D24),0,(H24/D24))</f>
        <v>0</v>
      </c>
      <c r="J24" s="21">
        <f t="shared" si="5"/>
        <v>4.6529996025686917E-3</v>
      </c>
      <c r="K24" s="85">
        <f t="shared" si="4"/>
        <v>4.5546355709693582E-3</v>
      </c>
    </row>
    <row r="25" spans="1:11" x14ac:dyDescent="0.2">
      <c r="A25" s="98" t="s">
        <v>55</v>
      </c>
      <c r="B25" s="70">
        <f>IF($B$9="kWh",$B$4,$B$5)</f>
        <v>800</v>
      </c>
      <c r="C25" s="75">
        <f>VLOOKUP($B$3,'Data for Bill Impacts'!$A$3:$AA$3,14,0)</f>
        <v>2.0000000000000001E-4</v>
      </c>
      <c r="D25" s="20">
        <f>B25*C25</f>
        <v>0.16</v>
      </c>
      <c r="E25" s="70">
        <f t="shared" si="0"/>
        <v>800</v>
      </c>
      <c r="F25" s="75">
        <f>VLOOKUP($B$3,'Data for Bill Impacts'!$A$3:$AA$3,25,0)</f>
        <v>2.0000000000000001E-4</v>
      </c>
      <c r="G25" s="20">
        <f>E25*F25</f>
        <v>0.16</v>
      </c>
      <c r="H25" s="20">
        <f t="shared" si="1"/>
        <v>0</v>
      </c>
      <c r="I25" s="21">
        <f>IF(ISERROR(H25/D25),0,(H25/D25))</f>
        <v>0</v>
      </c>
      <c r="J25" s="21">
        <f t="shared" si="5"/>
        <v>1.0339999116819316E-3</v>
      </c>
      <c r="K25" s="85">
        <f t="shared" si="4"/>
        <v>1.0121412379931909E-3</v>
      </c>
    </row>
    <row r="26" spans="1:11" s="1" customFormat="1" x14ac:dyDescent="0.2">
      <c r="A26" s="87" t="s">
        <v>43</v>
      </c>
      <c r="B26" s="71"/>
      <c r="C26" s="33"/>
      <c r="D26" s="33">
        <f>SUM(D19:D25)</f>
        <v>39.669999999999995</v>
      </c>
      <c r="E26" s="70"/>
      <c r="F26" s="33"/>
      <c r="G26" s="33">
        <f>SUM(G19:G25)</f>
        <v>39.35</v>
      </c>
      <c r="H26" s="33">
        <f t="shared" si="1"/>
        <v>-0.31999999999999318</v>
      </c>
      <c r="I26" s="34">
        <f t="shared" si="2"/>
        <v>-8.0665490294931485E-3</v>
      </c>
      <c r="J26" s="34">
        <f t="shared" si="5"/>
        <v>0.25429935327927505</v>
      </c>
      <c r="K26" s="88">
        <f t="shared" si="4"/>
        <v>0.24892348571895037</v>
      </c>
    </row>
    <row r="27" spans="1:11" s="1" customFormat="1" x14ac:dyDescent="0.2">
      <c r="A27" s="99" t="s">
        <v>44</v>
      </c>
      <c r="B27" s="89">
        <v>1</v>
      </c>
      <c r="C27" s="75">
        <f>VLOOKUP($B$3,'Data for Bill Impacts'!$A$3:$AA$3,9,0)</f>
        <v>0.79</v>
      </c>
      <c r="D27" s="20">
        <f>B27*C27</f>
        <v>0.79</v>
      </c>
      <c r="E27" s="70">
        <v>1</v>
      </c>
      <c r="F27" s="75">
        <f>VLOOKUP($B$3,'Data for Bill Impacts'!$A$3:$AA$3,20,0)</f>
        <v>0.79</v>
      </c>
      <c r="G27" s="20">
        <f>E27*F27</f>
        <v>0.79</v>
      </c>
      <c r="H27" s="20">
        <f t="shared" si="1"/>
        <v>0</v>
      </c>
      <c r="I27" s="21">
        <f>IF(ISERROR(H27/D27),0,(H27/D27))</f>
        <v>0</v>
      </c>
      <c r="J27" s="21">
        <f t="shared" si="5"/>
        <v>5.1053745639295369E-3</v>
      </c>
      <c r="K27" s="85">
        <f t="shared" si="4"/>
        <v>4.99744736259138E-3</v>
      </c>
    </row>
    <row r="28" spans="1:11" s="1" customFormat="1" x14ac:dyDescent="0.2">
      <c r="A28" s="99" t="s">
        <v>46</v>
      </c>
      <c r="B28" s="89">
        <f>B8-B4</f>
        <v>45.120000000000005</v>
      </c>
      <c r="C28" s="90">
        <f>IF(B4&gt;B7,C13,C12)</f>
        <v>0.11</v>
      </c>
      <c r="D28" s="20">
        <f>B28*C28</f>
        <v>4.9632000000000005</v>
      </c>
      <c r="E28" s="70">
        <f>B28</f>
        <v>45.120000000000005</v>
      </c>
      <c r="F28" s="90">
        <f>C28</f>
        <v>0.11</v>
      </c>
      <c r="G28" s="20">
        <f>E28*F28</f>
        <v>4.9632000000000005</v>
      </c>
      <c r="H28" s="20">
        <f t="shared" si="1"/>
        <v>0</v>
      </c>
      <c r="I28" s="21">
        <f>IF(ISERROR(H28/D28),0,(H28/D28))</f>
        <v>0</v>
      </c>
      <c r="J28" s="21">
        <f t="shared" si="5"/>
        <v>3.2074677260373517E-2</v>
      </c>
      <c r="K28" s="85">
        <f t="shared" si="4"/>
        <v>3.1396621202548783E-2</v>
      </c>
    </row>
    <row r="29" spans="1:11" s="1" customFormat="1" x14ac:dyDescent="0.2">
      <c r="A29" s="99" t="s">
        <v>45</v>
      </c>
      <c r="B29" s="89">
        <f>B8-B4</f>
        <v>45.120000000000005</v>
      </c>
      <c r="C29" s="90">
        <f>0.64*C15+0.18*C16+0.18*C17</f>
        <v>0.10214000000000001</v>
      </c>
      <c r="D29" s="20">
        <f>B29*C29</f>
        <v>4.6085568000000006</v>
      </c>
      <c r="E29" s="70">
        <f>B29</f>
        <v>45.120000000000005</v>
      </c>
      <c r="F29" s="90">
        <f>C29</f>
        <v>0.10214000000000001</v>
      </c>
      <c r="G29" s="20">
        <f>E29*F29</f>
        <v>4.6085568000000006</v>
      </c>
      <c r="H29" s="20">
        <f t="shared" si="1"/>
        <v>0</v>
      </c>
      <c r="I29" s="21">
        <f>IF(ISERROR(H29/D29),0,(H29/D29))</f>
        <v>0</v>
      </c>
      <c r="J29" s="21">
        <f t="shared" si="5"/>
        <v>2.9782795776132284E-2</v>
      </c>
      <c r="K29" s="85">
        <f t="shared" si="4"/>
        <v>2.9153189905712116E-2</v>
      </c>
    </row>
    <row r="30" spans="1:11" s="1" customFormat="1" x14ac:dyDescent="0.2">
      <c r="A30" s="87" t="s">
        <v>49</v>
      </c>
      <c r="B30" s="71"/>
      <c r="C30" s="33"/>
      <c r="D30" s="33">
        <f>SUM(D26,D27:D28)</f>
        <v>45.423199999999994</v>
      </c>
      <c r="E30" s="70"/>
      <c r="F30" s="33"/>
      <c r="G30" s="33">
        <f>SUM(G26,G27:G28)</f>
        <v>45.103200000000001</v>
      </c>
      <c r="H30" s="33">
        <f t="shared" si="1"/>
        <v>-0.31999999999999318</v>
      </c>
      <c r="I30" s="34">
        <f>IF(ISERROR(H30/D30),0,(H30/D30))</f>
        <v>-7.0448581341691742E-3</v>
      </c>
      <c r="J30" s="34">
        <f t="shared" si="5"/>
        <v>0.29147940510357812</v>
      </c>
      <c r="K30" s="88">
        <f t="shared" si="4"/>
        <v>0.28531755428409056</v>
      </c>
    </row>
    <row r="31" spans="1:11" s="1" customFormat="1" x14ac:dyDescent="0.2">
      <c r="A31" s="87" t="s">
        <v>48</v>
      </c>
      <c r="B31" s="71"/>
      <c r="C31" s="33"/>
      <c r="D31" s="33">
        <f>SUM(D26,D27,D29)</f>
        <v>45.068556799999996</v>
      </c>
      <c r="E31" s="70"/>
      <c r="F31" s="33"/>
      <c r="G31" s="33">
        <f>SUM(G26,G27,G29)</f>
        <v>44.748556800000003</v>
      </c>
      <c r="H31" s="33">
        <f t="shared" si="1"/>
        <v>-0.31999999999999318</v>
      </c>
      <c r="I31" s="34">
        <f>IF(ISERROR(H31/D31),0,(H31/D31))</f>
        <v>-7.1002939237671172E-3</v>
      </c>
      <c r="J31" s="34">
        <f t="shared" si="5"/>
        <v>0.28918752361933686</v>
      </c>
      <c r="K31" s="88">
        <f t="shared" si="4"/>
        <v>0.28307412298725387</v>
      </c>
    </row>
    <row r="32" spans="1:11" x14ac:dyDescent="0.2">
      <c r="A32" s="98" t="s">
        <v>26</v>
      </c>
      <c r="B32" s="70">
        <f>B8</f>
        <v>845.12</v>
      </c>
      <c r="C32" s="75">
        <f>VLOOKUP($B$3,'Data for Bill Impacts'!$A$3:$AA$3,15,0)</f>
        <v>6.7000000000000002E-3</v>
      </c>
      <c r="D32" s="20">
        <f>B32*C32</f>
        <v>5.6623039999999998</v>
      </c>
      <c r="E32" s="70">
        <f t="shared" si="0"/>
        <v>845.12</v>
      </c>
      <c r="F32" s="75">
        <f>VLOOKUP($B$3,'Data for Bill Impacts'!$A$3:$AA$3,26,0)</f>
        <v>6.7000000000000002E-3</v>
      </c>
      <c r="G32" s="20">
        <f>E32*F32</f>
        <v>5.6623039999999998</v>
      </c>
      <c r="H32" s="20">
        <f t="shared" si="1"/>
        <v>0</v>
      </c>
      <c r="I32" s="21">
        <f t="shared" si="2"/>
        <v>0</v>
      </c>
      <c r="J32" s="21">
        <f t="shared" si="5"/>
        <v>3.6592636474476546E-2</v>
      </c>
      <c r="K32" s="85">
        <f t="shared" si="4"/>
        <v>3.5819071127836229E-2</v>
      </c>
    </row>
    <row r="33" spans="1:11" x14ac:dyDescent="0.2">
      <c r="A33" s="98" t="s">
        <v>27</v>
      </c>
      <c r="B33" s="70">
        <f>B8</f>
        <v>845.12</v>
      </c>
      <c r="C33" s="75">
        <f>VLOOKUP($B$3,'Data for Bill Impacts'!$A$3:$AA$3,16,0)</f>
        <v>3.2000000000000002E-3</v>
      </c>
      <c r="D33" s="20">
        <f>B33*C33</f>
        <v>2.7043840000000001</v>
      </c>
      <c r="E33" s="70">
        <f t="shared" si="0"/>
        <v>845.12</v>
      </c>
      <c r="F33" s="75">
        <f>VLOOKUP($B$3,'Data for Bill Impacts'!$A$3:$AA$3,27,0)</f>
        <v>3.2000000000000002E-3</v>
      </c>
      <c r="G33" s="20">
        <f>E33*F33</f>
        <v>2.7043840000000001</v>
      </c>
      <c r="H33" s="20">
        <f t="shared" si="1"/>
        <v>0</v>
      </c>
      <c r="I33" s="21">
        <f t="shared" si="2"/>
        <v>0</v>
      </c>
      <c r="J33" s="21">
        <f t="shared" si="5"/>
        <v>1.7477080107212682E-2</v>
      </c>
      <c r="K33" s="85">
        <f t="shared" si="4"/>
        <v>1.7107616061056111E-2</v>
      </c>
    </row>
    <row r="34" spans="1:11" s="1" customFormat="1" x14ac:dyDescent="0.2">
      <c r="A34" s="87" t="s">
        <v>47</v>
      </c>
      <c r="B34" s="71"/>
      <c r="C34" s="33"/>
      <c r="D34" s="33">
        <f>SUM(D32:D33)</f>
        <v>8.3666879999999999</v>
      </c>
      <c r="E34" s="70"/>
      <c r="F34" s="33"/>
      <c r="G34" s="33">
        <f>SUM(G32:G33)</f>
        <v>8.3666879999999999</v>
      </c>
      <c r="H34" s="33">
        <f t="shared" si="1"/>
        <v>0</v>
      </c>
      <c r="I34" s="34">
        <f t="shared" si="2"/>
        <v>0</v>
      </c>
      <c r="J34" s="34">
        <f t="shared" si="5"/>
        <v>5.4069716581689228E-2</v>
      </c>
      <c r="K34" s="88">
        <f t="shared" si="4"/>
        <v>5.2926687188892332E-2</v>
      </c>
    </row>
    <row r="35" spans="1:11" s="1" customFormat="1" x14ac:dyDescent="0.2">
      <c r="A35" s="87" t="s">
        <v>51</v>
      </c>
      <c r="B35" s="71"/>
      <c r="C35" s="33"/>
      <c r="D35" s="33">
        <f>D30+D34</f>
        <v>53.789887999999991</v>
      </c>
      <c r="E35" s="70"/>
      <c r="F35" s="33"/>
      <c r="G35" s="33">
        <f>G30+G34</f>
        <v>53.469887999999997</v>
      </c>
      <c r="H35" s="33">
        <f t="shared" si="1"/>
        <v>-0.31999999999999318</v>
      </c>
      <c r="I35" s="34">
        <f t="shared" si="2"/>
        <v>-5.9490735507758121E-3</v>
      </c>
      <c r="J35" s="34">
        <f t="shared" si="5"/>
        <v>0.3455491216852673</v>
      </c>
      <c r="K35" s="88">
        <f t="shared" si="4"/>
        <v>0.33824424147298282</v>
      </c>
    </row>
    <row r="36" spans="1:11" s="1" customFormat="1" x14ac:dyDescent="0.2">
      <c r="A36" s="87" t="s">
        <v>52</v>
      </c>
      <c r="B36" s="71"/>
      <c r="C36" s="33"/>
      <c r="D36" s="33">
        <f>D31+D34</f>
        <v>53.435244799999992</v>
      </c>
      <c r="E36" s="70"/>
      <c r="F36" s="33"/>
      <c r="G36" s="33">
        <f>G31+G34</f>
        <v>53.115244799999999</v>
      </c>
      <c r="H36" s="33">
        <f t="shared" si="1"/>
        <v>-0.31999999999999318</v>
      </c>
      <c r="I36" s="34">
        <f t="shared" si="2"/>
        <v>-5.9885568260743373E-3</v>
      </c>
      <c r="J36" s="34">
        <f t="shared" ref="J36" si="8">G36/$G$43</f>
        <v>0.3432572402010261</v>
      </c>
      <c r="K36" s="88">
        <f t="shared" ref="K36" si="9">G36/$G$46</f>
        <v>0.33600081017614619</v>
      </c>
    </row>
    <row r="37" spans="1:11" x14ac:dyDescent="0.2">
      <c r="A37" s="84" t="s">
        <v>28</v>
      </c>
      <c r="B37" s="70">
        <f>B8</f>
        <v>845.12</v>
      </c>
      <c r="C37" s="32">
        <v>4.4000000000000003E-3</v>
      </c>
      <c r="D37" s="20">
        <f>B37*C37</f>
        <v>3.7185280000000001</v>
      </c>
      <c r="E37" s="70">
        <f t="shared" si="0"/>
        <v>845.12</v>
      </c>
      <c r="F37" s="32">
        <v>4.4000000000000003E-3</v>
      </c>
      <c r="G37" s="20">
        <f>E37*F37</f>
        <v>3.7185280000000001</v>
      </c>
      <c r="H37" s="20">
        <f t="shared" si="1"/>
        <v>0</v>
      </c>
      <c r="I37" s="21">
        <f t="shared" si="2"/>
        <v>0</v>
      </c>
      <c r="J37" s="21">
        <f t="shared" ref="J37:J43" si="10">G37/$G$43</f>
        <v>2.4030985147417437E-2</v>
      </c>
      <c r="K37" s="85">
        <f>G37/$G$46</f>
        <v>2.352297208395215E-2</v>
      </c>
    </row>
    <row r="38" spans="1:11" x14ac:dyDescent="0.2">
      <c r="A38" s="84" t="s">
        <v>29</v>
      </c>
      <c r="B38" s="70">
        <f>B8</f>
        <v>845.12</v>
      </c>
      <c r="C38" s="32">
        <v>1.2999999999999999E-3</v>
      </c>
      <c r="D38" s="20">
        <f>B38*C38</f>
        <v>1.0986559999999999</v>
      </c>
      <c r="E38" s="70">
        <f t="shared" si="0"/>
        <v>845.12</v>
      </c>
      <c r="F38" s="32">
        <v>1.2999999999999999E-3</v>
      </c>
      <c r="G38" s="20">
        <f>E38*F38</f>
        <v>1.0986559999999999</v>
      </c>
      <c r="H38" s="20">
        <f>G38-D38</f>
        <v>0</v>
      </c>
      <c r="I38" s="21">
        <f t="shared" si="2"/>
        <v>0</v>
      </c>
      <c r="J38" s="21">
        <f t="shared" si="10"/>
        <v>7.1000637935551506E-3</v>
      </c>
      <c r="K38" s="85">
        <f>G38/$G$46</f>
        <v>6.9499690248040428E-3</v>
      </c>
    </row>
    <row r="39" spans="1:11" x14ac:dyDescent="0.2">
      <c r="A39" s="84" t="s">
        <v>30</v>
      </c>
      <c r="B39" s="70">
        <v>1</v>
      </c>
      <c r="C39" s="20">
        <v>0.25</v>
      </c>
      <c r="D39" s="20">
        <f>B39*C39</f>
        <v>0.25</v>
      </c>
      <c r="E39" s="70">
        <f t="shared" si="0"/>
        <v>1</v>
      </c>
      <c r="F39" s="20">
        <f>C39</f>
        <v>0.25</v>
      </c>
      <c r="G39" s="20">
        <f>E39*F39</f>
        <v>0.25</v>
      </c>
      <c r="H39" s="20">
        <f t="shared" si="1"/>
        <v>0</v>
      </c>
      <c r="I39" s="21">
        <f t="shared" si="2"/>
        <v>0</v>
      </c>
      <c r="J39" s="21">
        <f t="shared" si="10"/>
        <v>1.615624862003018E-3</v>
      </c>
      <c r="K39" s="85">
        <f>G39/$G$46</f>
        <v>1.5814706843643607E-3</v>
      </c>
    </row>
    <row r="40" spans="1:11" s="1" customFormat="1" ht="13.5" thickBot="1" x14ac:dyDescent="0.25">
      <c r="A40" s="87" t="s">
        <v>31</v>
      </c>
      <c r="B40" s="71"/>
      <c r="C40" s="33"/>
      <c r="D40" s="33">
        <f>SUM(D37:D39)</f>
        <v>5.0671840000000001</v>
      </c>
      <c r="E40" s="70"/>
      <c r="F40" s="33"/>
      <c r="G40" s="33">
        <f>SUM(G37:G39)</f>
        <v>5.0671840000000001</v>
      </c>
      <c r="H40" s="33">
        <f t="shared" si="1"/>
        <v>0</v>
      </c>
      <c r="I40" s="34">
        <f t="shared" si="2"/>
        <v>0</v>
      </c>
      <c r="J40" s="34">
        <f t="shared" si="10"/>
        <v>3.2746673802975607E-2</v>
      </c>
      <c r="K40" s="88">
        <f>G40/$G$46</f>
        <v>3.2054411793120553E-2</v>
      </c>
    </row>
    <row r="41" spans="1:11" s="1" customFormat="1" x14ac:dyDescent="0.2">
      <c r="A41" s="35" t="s">
        <v>54</v>
      </c>
      <c r="B41" s="36"/>
      <c r="C41" s="37"/>
      <c r="D41" s="37">
        <f>SUM(D14,D26,D27,D28,D34,D40)</f>
        <v>137.25707199999999</v>
      </c>
      <c r="E41" s="36"/>
      <c r="F41" s="37"/>
      <c r="G41" s="37">
        <f>SUM(G14,G26,G27,G28,G34,G40)</f>
        <v>136.937072</v>
      </c>
      <c r="H41" s="37">
        <f t="shared" si="1"/>
        <v>-0.31999999999999318</v>
      </c>
      <c r="I41" s="38">
        <f>IF(ISERROR(H41/D41),0,(H41/D41))</f>
        <v>-2.3313917114594516E-3</v>
      </c>
      <c r="J41" s="38">
        <f t="shared" si="10"/>
        <v>0.88495575221238942</v>
      </c>
      <c r="K41" s="39"/>
    </row>
    <row r="42" spans="1:11" x14ac:dyDescent="0.2">
      <c r="A42" s="40" t="s">
        <v>32</v>
      </c>
      <c r="B42" s="41"/>
      <c r="C42" s="24">
        <v>0.13</v>
      </c>
      <c r="D42" s="24">
        <f>D41*C42</f>
        <v>17.843419359999999</v>
      </c>
      <c r="E42" s="24"/>
      <c r="F42" s="24">
        <f>C42</f>
        <v>0.13</v>
      </c>
      <c r="G42" s="24">
        <f>G41*F42</f>
        <v>17.80181936</v>
      </c>
      <c r="H42" s="24">
        <f t="shared" si="1"/>
        <v>-4.1599999999998971E-2</v>
      </c>
      <c r="I42" s="42">
        <f t="shared" si="2"/>
        <v>-2.3313917114594438E-3</v>
      </c>
      <c r="J42" s="42">
        <f t="shared" si="10"/>
        <v>0.11504424778761062</v>
      </c>
      <c r="K42" s="43"/>
    </row>
    <row r="43" spans="1:11" s="1" customFormat="1" ht="13.5" thickBot="1" x14ac:dyDescent="0.25">
      <c r="A43" s="45" t="s">
        <v>68</v>
      </c>
      <c r="B43" s="46"/>
      <c r="C43" s="47"/>
      <c r="D43" s="47">
        <f>SUM(D41:D42)</f>
        <v>155.10049135999998</v>
      </c>
      <c r="E43" s="47"/>
      <c r="F43" s="47"/>
      <c r="G43" s="47">
        <f>SUM(G41:G42)</f>
        <v>154.73889136</v>
      </c>
      <c r="H43" s="47">
        <f t="shared" si="1"/>
        <v>-0.36159999999998149</v>
      </c>
      <c r="I43" s="48">
        <f t="shared" si="2"/>
        <v>-2.3313917114593822E-3</v>
      </c>
      <c r="J43" s="48">
        <f t="shared" si="10"/>
        <v>1</v>
      </c>
      <c r="K43" s="49"/>
    </row>
    <row r="44" spans="1:11" x14ac:dyDescent="0.2">
      <c r="A44" s="50" t="s">
        <v>33</v>
      </c>
      <c r="B44" s="51"/>
      <c r="C44" s="52"/>
      <c r="D44" s="52">
        <f>SUM(D18,D26,D27,D29,D34,D40)</f>
        <v>140.21442880000001</v>
      </c>
      <c r="E44" s="52"/>
      <c r="F44" s="52"/>
      <c r="G44" s="52">
        <f>SUM(G18,G26,G27,G29,G34,G40)</f>
        <v>139.89442880000001</v>
      </c>
      <c r="H44" s="52">
        <f>G44-D44</f>
        <v>-0.31999999999999318</v>
      </c>
      <c r="I44" s="53">
        <f>IF(ISERROR(H44/D44),0,(H44/D44))</f>
        <v>-2.2822187612120642E-3</v>
      </c>
      <c r="J44" s="53"/>
      <c r="K44" s="54">
        <f>G44/$G$46</f>
        <v>0.88495575221238942</v>
      </c>
    </row>
    <row r="45" spans="1:11" x14ac:dyDescent="0.2">
      <c r="A45" s="55" t="s">
        <v>32</v>
      </c>
      <c r="B45" s="56"/>
      <c r="C45" s="29">
        <v>0.13</v>
      </c>
      <c r="D45" s="29">
        <f>D44*C45</f>
        <v>18.227875744000002</v>
      </c>
      <c r="E45" s="29"/>
      <c r="F45" s="29">
        <f>C45</f>
        <v>0.13</v>
      </c>
      <c r="G45" s="29">
        <f>G44*F45</f>
        <v>18.186275744000003</v>
      </c>
      <c r="H45" s="29">
        <f>G45-D45</f>
        <v>-4.1599999999998971E-2</v>
      </c>
      <c r="I45" s="30">
        <f>IF(ISERROR(H45/D45),0,(H45/D45))</f>
        <v>-2.282218761212056E-3</v>
      </c>
      <c r="J45" s="30"/>
      <c r="K45" s="57">
        <f>G45/$G$46</f>
        <v>0.11504424778761063</v>
      </c>
    </row>
    <row r="46" spans="1:11" ht="13.5" thickBot="1" x14ac:dyDescent="0.25">
      <c r="A46" s="60" t="s">
        <v>67</v>
      </c>
      <c r="B46" s="61"/>
      <c r="C46" s="62"/>
      <c r="D46" s="62">
        <f>SUM(D44:D45)</f>
        <v>158.44230454400002</v>
      </c>
      <c r="E46" s="62"/>
      <c r="F46" s="62"/>
      <c r="G46" s="62">
        <f>SUM(G44:G45)</f>
        <v>158.08070454400001</v>
      </c>
      <c r="H46" s="62">
        <f>G46-D46</f>
        <v>-0.36160000000000991</v>
      </c>
      <c r="I46" s="63">
        <f>IF(ISERROR(H46/D46),0,(H46/D46))</f>
        <v>-2.2822187612121752E-3</v>
      </c>
      <c r="J46" s="63"/>
      <c r="K46" s="64">
        <f>G46/$G$46</f>
        <v>1</v>
      </c>
    </row>
    <row r="47" spans="1:11" x14ac:dyDescent="0.2">
      <c r="C47" s="65"/>
      <c r="F47" s="66"/>
    </row>
    <row r="48" spans="1:11" x14ac:dyDescent="0.2">
      <c r="F48" s="66"/>
    </row>
    <row r="49" spans="1:6" x14ac:dyDescent="0.2">
      <c r="F49" s="66"/>
    </row>
    <row r="50" spans="1:6" x14ac:dyDescent="0.2">
      <c r="A50" s="67"/>
      <c r="B50" s="68"/>
      <c r="F50" s="66"/>
    </row>
    <row r="51" spans="1:6" x14ac:dyDescent="0.2">
      <c r="B51" s="68"/>
      <c r="F51" s="66"/>
    </row>
    <row r="52" spans="1:6" x14ac:dyDescent="0.2">
      <c r="F52" s="66"/>
    </row>
    <row r="53" spans="1:6" x14ac:dyDescent="0.2">
      <c r="D53" s="69"/>
      <c r="F53" s="66"/>
    </row>
    <row r="54" spans="1:6" x14ac:dyDescent="0.2">
      <c r="F54" s="66"/>
    </row>
    <row r="55" spans="1:6" x14ac:dyDescent="0.2">
      <c r="A55" s="67"/>
      <c r="B55" s="68"/>
      <c r="F55" s="66"/>
    </row>
    <row r="56" spans="1:6" x14ac:dyDescent="0.2">
      <c r="B56" s="69"/>
      <c r="D56" s="69"/>
      <c r="F56" s="66"/>
    </row>
    <row r="57" spans="1:6" x14ac:dyDescent="0.2">
      <c r="F57" s="66"/>
    </row>
    <row r="58" spans="1:6" x14ac:dyDescent="0.2">
      <c r="F58" s="66"/>
    </row>
    <row r="59" spans="1:6" x14ac:dyDescent="0.2">
      <c r="F59" s="66"/>
    </row>
    <row r="60" spans="1:6" x14ac:dyDescent="0.2">
      <c r="F60" s="66"/>
    </row>
    <row r="61" spans="1:6" x14ac:dyDescent="0.2">
      <c r="F61" s="66"/>
    </row>
    <row r="62" spans="1:6" x14ac:dyDescent="0.2">
      <c r="F62" s="66"/>
    </row>
    <row r="63" spans="1:6" x14ac:dyDescent="0.2">
      <c r="F63" s="66"/>
    </row>
  </sheetData>
  <mergeCells count="1">
    <mergeCell ref="A1:K1"/>
  </mergeCells>
  <pageMargins left="0.75" right="0.75" top="0.37" bottom="0.43" header="0.5" footer="0.5"/>
  <pageSetup scale="7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for Bill Impacts'!$A$3:$A$3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K63"/>
  <sheetViews>
    <sheetView view="pageBreakPreview" zoomScale="85" zoomScaleNormal="85" zoomScaleSheetLayoutView="85" workbookViewId="0">
      <selection activeCell="R31" sqref="R31"/>
    </sheetView>
  </sheetViews>
  <sheetFormatPr defaultRowHeight="12.75" x14ac:dyDescent="0.2"/>
  <cols>
    <col min="1" max="1" width="63.28515625" customWidth="1"/>
    <col min="2" max="2" width="15.5703125" bestFit="1" customWidth="1"/>
    <col min="3" max="3" width="10.5703125" customWidth="1"/>
    <col min="4" max="4" width="10.5703125" bestFit="1" customWidth="1"/>
    <col min="5" max="5" width="10.42578125" customWidth="1"/>
    <col min="6" max="6" width="10.140625" customWidth="1"/>
    <col min="7" max="7" width="12.28515625" customWidth="1"/>
    <col min="8" max="8" width="10.85546875" bestFit="1" customWidth="1"/>
    <col min="9" max="9" width="11.140625" bestFit="1" customWidth="1"/>
    <col min="10" max="10" width="10.42578125" customWidth="1"/>
    <col min="11" max="11" width="9.140625" style="12"/>
    <col min="257" max="257" width="53.28515625" customWidth="1"/>
    <col min="258" max="258" width="15.5703125" bestFit="1" customWidth="1"/>
    <col min="259" max="259" width="10.5703125" customWidth="1"/>
    <col min="260" max="260" width="10.5703125" bestFit="1" customWidth="1"/>
    <col min="262" max="262" width="10.140625" customWidth="1"/>
    <col min="263" max="263" width="12.28515625" customWidth="1"/>
    <col min="264" max="264" width="10.85546875" bestFit="1" customWidth="1"/>
    <col min="265" max="265" width="11.140625" bestFit="1" customWidth="1"/>
    <col min="266" max="266" width="10.42578125" customWidth="1"/>
    <col min="513" max="513" width="53.28515625" customWidth="1"/>
    <col min="514" max="514" width="15.5703125" bestFit="1" customWidth="1"/>
    <col min="515" max="515" width="10.5703125" customWidth="1"/>
    <col min="516" max="516" width="10.5703125" bestFit="1" customWidth="1"/>
    <col min="518" max="518" width="10.140625" customWidth="1"/>
    <col min="519" max="519" width="12.28515625" customWidth="1"/>
    <col min="520" max="520" width="10.85546875" bestFit="1" customWidth="1"/>
    <col min="521" max="521" width="11.140625" bestFit="1" customWidth="1"/>
    <col min="522" max="522" width="10.42578125" customWidth="1"/>
    <col min="769" max="769" width="53.28515625" customWidth="1"/>
    <col min="770" max="770" width="15.5703125" bestFit="1" customWidth="1"/>
    <col min="771" max="771" width="10.5703125" customWidth="1"/>
    <col min="772" max="772" width="10.5703125" bestFit="1" customWidth="1"/>
    <col min="774" max="774" width="10.140625" customWidth="1"/>
    <col min="775" max="775" width="12.28515625" customWidth="1"/>
    <col min="776" max="776" width="10.85546875" bestFit="1" customWidth="1"/>
    <col min="777" max="777" width="11.140625" bestFit="1" customWidth="1"/>
    <col min="778" max="778" width="10.42578125" customWidth="1"/>
    <col min="1025" max="1025" width="53.28515625" customWidth="1"/>
    <col min="1026" max="1026" width="15.5703125" bestFit="1" customWidth="1"/>
    <col min="1027" max="1027" width="10.5703125" customWidth="1"/>
    <col min="1028" max="1028" width="10.5703125" bestFit="1" customWidth="1"/>
    <col min="1030" max="1030" width="10.140625" customWidth="1"/>
    <col min="1031" max="1031" width="12.28515625" customWidth="1"/>
    <col min="1032" max="1032" width="10.85546875" bestFit="1" customWidth="1"/>
    <col min="1033" max="1033" width="11.140625" bestFit="1" customWidth="1"/>
    <col min="1034" max="1034" width="10.42578125" customWidth="1"/>
    <col min="1281" max="1281" width="53.28515625" customWidth="1"/>
    <col min="1282" max="1282" width="15.5703125" bestFit="1" customWidth="1"/>
    <col min="1283" max="1283" width="10.5703125" customWidth="1"/>
    <col min="1284" max="1284" width="10.5703125" bestFit="1" customWidth="1"/>
    <col min="1286" max="1286" width="10.140625" customWidth="1"/>
    <col min="1287" max="1287" width="12.28515625" customWidth="1"/>
    <col min="1288" max="1288" width="10.85546875" bestFit="1" customWidth="1"/>
    <col min="1289" max="1289" width="11.140625" bestFit="1" customWidth="1"/>
    <col min="1290" max="1290" width="10.42578125" customWidth="1"/>
    <col min="1537" max="1537" width="53.28515625" customWidth="1"/>
    <col min="1538" max="1538" width="15.5703125" bestFit="1" customWidth="1"/>
    <col min="1539" max="1539" width="10.5703125" customWidth="1"/>
    <col min="1540" max="1540" width="10.5703125" bestFit="1" customWidth="1"/>
    <col min="1542" max="1542" width="10.140625" customWidth="1"/>
    <col min="1543" max="1543" width="12.28515625" customWidth="1"/>
    <col min="1544" max="1544" width="10.85546875" bestFit="1" customWidth="1"/>
    <col min="1545" max="1545" width="11.140625" bestFit="1" customWidth="1"/>
    <col min="1546" max="1546" width="10.42578125" customWidth="1"/>
    <col min="1793" max="1793" width="53.28515625" customWidth="1"/>
    <col min="1794" max="1794" width="15.5703125" bestFit="1" customWidth="1"/>
    <col min="1795" max="1795" width="10.5703125" customWidth="1"/>
    <col min="1796" max="1796" width="10.5703125" bestFit="1" customWidth="1"/>
    <col min="1798" max="1798" width="10.140625" customWidth="1"/>
    <col min="1799" max="1799" width="12.28515625" customWidth="1"/>
    <col min="1800" max="1800" width="10.85546875" bestFit="1" customWidth="1"/>
    <col min="1801" max="1801" width="11.140625" bestFit="1" customWidth="1"/>
    <col min="1802" max="1802" width="10.42578125" customWidth="1"/>
    <col min="2049" max="2049" width="53.28515625" customWidth="1"/>
    <col min="2050" max="2050" width="15.5703125" bestFit="1" customWidth="1"/>
    <col min="2051" max="2051" width="10.5703125" customWidth="1"/>
    <col min="2052" max="2052" width="10.5703125" bestFit="1" customWidth="1"/>
    <col min="2054" max="2054" width="10.140625" customWidth="1"/>
    <col min="2055" max="2055" width="12.28515625" customWidth="1"/>
    <col min="2056" max="2056" width="10.85546875" bestFit="1" customWidth="1"/>
    <col min="2057" max="2057" width="11.140625" bestFit="1" customWidth="1"/>
    <col min="2058" max="2058" width="10.42578125" customWidth="1"/>
    <col min="2305" max="2305" width="53.28515625" customWidth="1"/>
    <col min="2306" max="2306" width="15.5703125" bestFit="1" customWidth="1"/>
    <col min="2307" max="2307" width="10.5703125" customWidth="1"/>
    <col min="2308" max="2308" width="10.5703125" bestFit="1" customWidth="1"/>
    <col min="2310" max="2310" width="10.140625" customWidth="1"/>
    <col min="2311" max="2311" width="12.28515625" customWidth="1"/>
    <col min="2312" max="2312" width="10.85546875" bestFit="1" customWidth="1"/>
    <col min="2313" max="2313" width="11.140625" bestFit="1" customWidth="1"/>
    <col min="2314" max="2314" width="10.42578125" customWidth="1"/>
    <col min="2561" max="2561" width="53.28515625" customWidth="1"/>
    <col min="2562" max="2562" width="15.5703125" bestFit="1" customWidth="1"/>
    <col min="2563" max="2563" width="10.5703125" customWidth="1"/>
    <col min="2564" max="2564" width="10.5703125" bestFit="1" customWidth="1"/>
    <col min="2566" max="2566" width="10.140625" customWidth="1"/>
    <col min="2567" max="2567" width="12.28515625" customWidth="1"/>
    <col min="2568" max="2568" width="10.85546875" bestFit="1" customWidth="1"/>
    <col min="2569" max="2569" width="11.140625" bestFit="1" customWidth="1"/>
    <col min="2570" max="2570" width="10.42578125" customWidth="1"/>
    <col min="2817" max="2817" width="53.28515625" customWidth="1"/>
    <col min="2818" max="2818" width="15.5703125" bestFit="1" customWidth="1"/>
    <col min="2819" max="2819" width="10.5703125" customWidth="1"/>
    <col min="2820" max="2820" width="10.5703125" bestFit="1" customWidth="1"/>
    <col min="2822" max="2822" width="10.140625" customWidth="1"/>
    <col min="2823" max="2823" width="12.28515625" customWidth="1"/>
    <col min="2824" max="2824" width="10.85546875" bestFit="1" customWidth="1"/>
    <col min="2825" max="2825" width="11.140625" bestFit="1" customWidth="1"/>
    <col min="2826" max="2826" width="10.42578125" customWidth="1"/>
    <col min="3073" max="3073" width="53.28515625" customWidth="1"/>
    <col min="3074" max="3074" width="15.5703125" bestFit="1" customWidth="1"/>
    <col min="3075" max="3075" width="10.5703125" customWidth="1"/>
    <col min="3076" max="3076" width="10.5703125" bestFit="1" customWidth="1"/>
    <col min="3078" max="3078" width="10.140625" customWidth="1"/>
    <col min="3079" max="3079" width="12.28515625" customWidth="1"/>
    <col min="3080" max="3080" width="10.85546875" bestFit="1" customWidth="1"/>
    <col min="3081" max="3081" width="11.140625" bestFit="1" customWidth="1"/>
    <col min="3082" max="3082" width="10.42578125" customWidth="1"/>
    <col min="3329" max="3329" width="53.28515625" customWidth="1"/>
    <col min="3330" max="3330" width="15.5703125" bestFit="1" customWidth="1"/>
    <col min="3331" max="3331" width="10.5703125" customWidth="1"/>
    <col min="3332" max="3332" width="10.5703125" bestFit="1" customWidth="1"/>
    <col min="3334" max="3334" width="10.140625" customWidth="1"/>
    <col min="3335" max="3335" width="12.28515625" customWidth="1"/>
    <col min="3336" max="3336" width="10.85546875" bestFit="1" customWidth="1"/>
    <col min="3337" max="3337" width="11.140625" bestFit="1" customWidth="1"/>
    <col min="3338" max="3338" width="10.42578125" customWidth="1"/>
    <col min="3585" max="3585" width="53.28515625" customWidth="1"/>
    <col min="3586" max="3586" width="15.5703125" bestFit="1" customWidth="1"/>
    <col min="3587" max="3587" width="10.5703125" customWidth="1"/>
    <col min="3588" max="3588" width="10.5703125" bestFit="1" customWidth="1"/>
    <col min="3590" max="3590" width="10.140625" customWidth="1"/>
    <col min="3591" max="3591" width="12.28515625" customWidth="1"/>
    <col min="3592" max="3592" width="10.85546875" bestFit="1" customWidth="1"/>
    <col min="3593" max="3593" width="11.140625" bestFit="1" customWidth="1"/>
    <col min="3594" max="3594" width="10.42578125" customWidth="1"/>
    <col min="3841" max="3841" width="53.28515625" customWidth="1"/>
    <col min="3842" max="3842" width="15.5703125" bestFit="1" customWidth="1"/>
    <col min="3843" max="3843" width="10.5703125" customWidth="1"/>
    <col min="3844" max="3844" width="10.5703125" bestFit="1" customWidth="1"/>
    <col min="3846" max="3846" width="10.140625" customWidth="1"/>
    <col min="3847" max="3847" width="12.28515625" customWidth="1"/>
    <col min="3848" max="3848" width="10.85546875" bestFit="1" customWidth="1"/>
    <col min="3849" max="3849" width="11.140625" bestFit="1" customWidth="1"/>
    <col min="3850" max="3850" width="10.42578125" customWidth="1"/>
    <col min="4097" max="4097" width="53.28515625" customWidth="1"/>
    <col min="4098" max="4098" width="15.5703125" bestFit="1" customWidth="1"/>
    <col min="4099" max="4099" width="10.5703125" customWidth="1"/>
    <col min="4100" max="4100" width="10.5703125" bestFit="1" customWidth="1"/>
    <col min="4102" max="4102" width="10.140625" customWidth="1"/>
    <col min="4103" max="4103" width="12.28515625" customWidth="1"/>
    <col min="4104" max="4104" width="10.85546875" bestFit="1" customWidth="1"/>
    <col min="4105" max="4105" width="11.140625" bestFit="1" customWidth="1"/>
    <col min="4106" max="4106" width="10.42578125" customWidth="1"/>
    <col min="4353" max="4353" width="53.28515625" customWidth="1"/>
    <col min="4354" max="4354" width="15.5703125" bestFit="1" customWidth="1"/>
    <col min="4355" max="4355" width="10.5703125" customWidth="1"/>
    <col min="4356" max="4356" width="10.5703125" bestFit="1" customWidth="1"/>
    <col min="4358" max="4358" width="10.140625" customWidth="1"/>
    <col min="4359" max="4359" width="12.28515625" customWidth="1"/>
    <col min="4360" max="4360" width="10.85546875" bestFit="1" customWidth="1"/>
    <col min="4361" max="4361" width="11.140625" bestFit="1" customWidth="1"/>
    <col min="4362" max="4362" width="10.42578125" customWidth="1"/>
    <col min="4609" max="4609" width="53.28515625" customWidth="1"/>
    <col min="4610" max="4610" width="15.5703125" bestFit="1" customWidth="1"/>
    <col min="4611" max="4611" width="10.5703125" customWidth="1"/>
    <col min="4612" max="4612" width="10.5703125" bestFit="1" customWidth="1"/>
    <col min="4614" max="4614" width="10.140625" customWidth="1"/>
    <col min="4615" max="4615" width="12.28515625" customWidth="1"/>
    <col min="4616" max="4616" width="10.85546875" bestFit="1" customWidth="1"/>
    <col min="4617" max="4617" width="11.140625" bestFit="1" customWidth="1"/>
    <col min="4618" max="4618" width="10.42578125" customWidth="1"/>
    <col min="4865" max="4865" width="53.28515625" customWidth="1"/>
    <col min="4866" max="4866" width="15.5703125" bestFit="1" customWidth="1"/>
    <col min="4867" max="4867" width="10.5703125" customWidth="1"/>
    <col min="4868" max="4868" width="10.5703125" bestFit="1" customWidth="1"/>
    <col min="4870" max="4870" width="10.140625" customWidth="1"/>
    <col min="4871" max="4871" width="12.28515625" customWidth="1"/>
    <col min="4872" max="4872" width="10.85546875" bestFit="1" customWidth="1"/>
    <col min="4873" max="4873" width="11.140625" bestFit="1" customWidth="1"/>
    <col min="4874" max="4874" width="10.42578125" customWidth="1"/>
    <col min="5121" max="5121" width="53.28515625" customWidth="1"/>
    <col min="5122" max="5122" width="15.5703125" bestFit="1" customWidth="1"/>
    <col min="5123" max="5123" width="10.5703125" customWidth="1"/>
    <col min="5124" max="5124" width="10.5703125" bestFit="1" customWidth="1"/>
    <col min="5126" max="5126" width="10.140625" customWidth="1"/>
    <col min="5127" max="5127" width="12.28515625" customWidth="1"/>
    <col min="5128" max="5128" width="10.85546875" bestFit="1" customWidth="1"/>
    <col min="5129" max="5129" width="11.140625" bestFit="1" customWidth="1"/>
    <col min="5130" max="5130" width="10.42578125" customWidth="1"/>
    <col min="5377" max="5377" width="53.28515625" customWidth="1"/>
    <col min="5378" max="5378" width="15.5703125" bestFit="1" customWidth="1"/>
    <col min="5379" max="5379" width="10.5703125" customWidth="1"/>
    <col min="5380" max="5380" width="10.5703125" bestFit="1" customWidth="1"/>
    <col min="5382" max="5382" width="10.140625" customWidth="1"/>
    <col min="5383" max="5383" width="12.28515625" customWidth="1"/>
    <col min="5384" max="5384" width="10.85546875" bestFit="1" customWidth="1"/>
    <col min="5385" max="5385" width="11.140625" bestFit="1" customWidth="1"/>
    <col min="5386" max="5386" width="10.42578125" customWidth="1"/>
    <col min="5633" max="5633" width="53.28515625" customWidth="1"/>
    <col min="5634" max="5634" width="15.5703125" bestFit="1" customWidth="1"/>
    <col min="5635" max="5635" width="10.5703125" customWidth="1"/>
    <col min="5636" max="5636" width="10.5703125" bestFit="1" customWidth="1"/>
    <col min="5638" max="5638" width="10.140625" customWidth="1"/>
    <col min="5639" max="5639" width="12.28515625" customWidth="1"/>
    <col min="5640" max="5640" width="10.85546875" bestFit="1" customWidth="1"/>
    <col min="5641" max="5641" width="11.140625" bestFit="1" customWidth="1"/>
    <col min="5642" max="5642" width="10.42578125" customWidth="1"/>
    <col min="5889" max="5889" width="53.28515625" customWidth="1"/>
    <col min="5890" max="5890" width="15.5703125" bestFit="1" customWidth="1"/>
    <col min="5891" max="5891" width="10.5703125" customWidth="1"/>
    <col min="5892" max="5892" width="10.5703125" bestFit="1" customWidth="1"/>
    <col min="5894" max="5894" width="10.140625" customWidth="1"/>
    <col min="5895" max="5895" width="12.28515625" customWidth="1"/>
    <col min="5896" max="5896" width="10.85546875" bestFit="1" customWidth="1"/>
    <col min="5897" max="5897" width="11.140625" bestFit="1" customWidth="1"/>
    <col min="5898" max="5898" width="10.42578125" customWidth="1"/>
    <col min="6145" max="6145" width="53.28515625" customWidth="1"/>
    <col min="6146" max="6146" width="15.5703125" bestFit="1" customWidth="1"/>
    <col min="6147" max="6147" width="10.5703125" customWidth="1"/>
    <col min="6148" max="6148" width="10.5703125" bestFit="1" customWidth="1"/>
    <col min="6150" max="6150" width="10.140625" customWidth="1"/>
    <col min="6151" max="6151" width="12.28515625" customWidth="1"/>
    <col min="6152" max="6152" width="10.85546875" bestFit="1" customWidth="1"/>
    <col min="6153" max="6153" width="11.140625" bestFit="1" customWidth="1"/>
    <col min="6154" max="6154" width="10.42578125" customWidth="1"/>
    <col min="6401" max="6401" width="53.28515625" customWidth="1"/>
    <col min="6402" max="6402" width="15.5703125" bestFit="1" customWidth="1"/>
    <col min="6403" max="6403" width="10.5703125" customWidth="1"/>
    <col min="6404" max="6404" width="10.5703125" bestFit="1" customWidth="1"/>
    <col min="6406" max="6406" width="10.140625" customWidth="1"/>
    <col min="6407" max="6407" width="12.28515625" customWidth="1"/>
    <col min="6408" max="6408" width="10.85546875" bestFit="1" customWidth="1"/>
    <col min="6409" max="6409" width="11.140625" bestFit="1" customWidth="1"/>
    <col min="6410" max="6410" width="10.42578125" customWidth="1"/>
    <col min="6657" max="6657" width="53.28515625" customWidth="1"/>
    <col min="6658" max="6658" width="15.5703125" bestFit="1" customWidth="1"/>
    <col min="6659" max="6659" width="10.5703125" customWidth="1"/>
    <col min="6660" max="6660" width="10.5703125" bestFit="1" customWidth="1"/>
    <col min="6662" max="6662" width="10.140625" customWidth="1"/>
    <col min="6663" max="6663" width="12.28515625" customWidth="1"/>
    <col min="6664" max="6664" width="10.85546875" bestFit="1" customWidth="1"/>
    <col min="6665" max="6665" width="11.140625" bestFit="1" customWidth="1"/>
    <col min="6666" max="6666" width="10.42578125" customWidth="1"/>
    <col min="6913" max="6913" width="53.28515625" customWidth="1"/>
    <col min="6914" max="6914" width="15.5703125" bestFit="1" customWidth="1"/>
    <col min="6915" max="6915" width="10.5703125" customWidth="1"/>
    <col min="6916" max="6916" width="10.5703125" bestFit="1" customWidth="1"/>
    <col min="6918" max="6918" width="10.140625" customWidth="1"/>
    <col min="6919" max="6919" width="12.28515625" customWidth="1"/>
    <col min="6920" max="6920" width="10.85546875" bestFit="1" customWidth="1"/>
    <col min="6921" max="6921" width="11.140625" bestFit="1" customWidth="1"/>
    <col min="6922" max="6922" width="10.42578125" customWidth="1"/>
    <col min="7169" max="7169" width="53.28515625" customWidth="1"/>
    <col min="7170" max="7170" width="15.5703125" bestFit="1" customWidth="1"/>
    <col min="7171" max="7171" width="10.5703125" customWidth="1"/>
    <col min="7172" max="7172" width="10.5703125" bestFit="1" customWidth="1"/>
    <col min="7174" max="7174" width="10.140625" customWidth="1"/>
    <col min="7175" max="7175" width="12.28515625" customWidth="1"/>
    <col min="7176" max="7176" width="10.85546875" bestFit="1" customWidth="1"/>
    <col min="7177" max="7177" width="11.140625" bestFit="1" customWidth="1"/>
    <col min="7178" max="7178" width="10.42578125" customWidth="1"/>
    <col min="7425" max="7425" width="53.28515625" customWidth="1"/>
    <col min="7426" max="7426" width="15.5703125" bestFit="1" customWidth="1"/>
    <col min="7427" max="7427" width="10.5703125" customWidth="1"/>
    <col min="7428" max="7428" width="10.5703125" bestFit="1" customWidth="1"/>
    <col min="7430" max="7430" width="10.140625" customWidth="1"/>
    <col min="7431" max="7431" width="12.28515625" customWidth="1"/>
    <col min="7432" max="7432" width="10.85546875" bestFit="1" customWidth="1"/>
    <col min="7433" max="7433" width="11.140625" bestFit="1" customWidth="1"/>
    <col min="7434" max="7434" width="10.42578125" customWidth="1"/>
    <col min="7681" max="7681" width="53.28515625" customWidth="1"/>
    <col min="7682" max="7682" width="15.5703125" bestFit="1" customWidth="1"/>
    <col min="7683" max="7683" width="10.5703125" customWidth="1"/>
    <col min="7684" max="7684" width="10.5703125" bestFit="1" customWidth="1"/>
    <col min="7686" max="7686" width="10.140625" customWidth="1"/>
    <col min="7687" max="7687" width="12.28515625" customWidth="1"/>
    <col min="7688" max="7688" width="10.85546875" bestFit="1" customWidth="1"/>
    <col min="7689" max="7689" width="11.140625" bestFit="1" customWidth="1"/>
    <col min="7690" max="7690" width="10.42578125" customWidth="1"/>
    <col min="7937" max="7937" width="53.28515625" customWidth="1"/>
    <col min="7938" max="7938" width="15.5703125" bestFit="1" customWidth="1"/>
    <col min="7939" max="7939" width="10.5703125" customWidth="1"/>
    <col min="7940" max="7940" width="10.5703125" bestFit="1" customWidth="1"/>
    <col min="7942" max="7942" width="10.140625" customWidth="1"/>
    <col min="7943" max="7943" width="12.28515625" customWidth="1"/>
    <col min="7944" max="7944" width="10.85546875" bestFit="1" customWidth="1"/>
    <col min="7945" max="7945" width="11.140625" bestFit="1" customWidth="1"/>
    <col min="7946" max="7946" width="10.42578125" customWidth="1"/>
    <col min="8193" max="8193" width="53.28515625" customWidth="1"/>
    <col min="8194" max="8194" width="15.5703125" bestFit="1" customWidth="1"/>
    <col min="8195" max="8195" width="10.5703125" customWidth="1"/>
    <col min="8196" max="8196" width="10.5703125" bestFit="1" customWidth="1"/>
    <col min="8198" max="8198" width="10.140625" customWidth="1"/>
    <col min="8199" max="8199" width="12.28515625" customWidth="1"/>
    <col min="8200" max="8200" width="10.85546875" bestFit="1" customWidth="1"/>
    <col min="8201" max="8201" width="11.140625" bestFit="1" customWidth="1"/>
    <col min="8202" max="8202" width="10.42578125" customWidth="1"/>
    <col min="8449" max="8449" width="53.28515625" customWidth="1"/>
    <col min="8450" max="8450" width="15.5703125" bestFit="1" customWidth="1"/>
    <col min="8451" max="8451" width="10.5703125" customWidth="1"/>
    <col min="8452" max="8452" width="10.5703125" bestFit="1" customWidth="1"/>
    <col min="8454" max="8454" width="10.140625" customWidth="1"/>
    <col min="8455" max="8455" width="12.28515625" customWidth="1"/>
    <col min="8456" max="8456" width="10.85546875" bestFit="1" customWidth="1"/>
    <col min="8457" max="8457" width="11.140625" bestFit="1" customWidth="1"/>
    <col min="8458" max="8458" width="10.42578125" customWidth="1"/>
    <col min="8705" max="8705" width="53.28515625" customWidth="1"/>
    <col min="8706" max="8706" width="15.5703125" bestFit="1" customWidth="1"/>
    <col min="8707" max="8707" width="10.5703125" customWidth="1"/>
    <col min="8708" max="8708" width="10.5703125" bestFit="1" customWidth="1"/>
    <col min="8710" max="8710" width="10.140625" customWidth="1"/>
    <col min="8711" max="8711" width="12.28515625" customWidth="1"/>
    <col min="8712" max="8712" width="10.85546875" bestFit="1" customWidth="1"/>
    <col min="8713" max="8713" width="11.140625" bestFit="1" customWidth="1"/>
    <col min="8714" max="8714" width="10.42578125" customWidth="1"/>
    <col min="8961" max="8961" width="53.28515625" customWidth="1"/>
    <col min="8962" max="8962" width="15.5703125" bestFit="1" customWidth="1"/>
    <col min="8963" max="8963" width="10.5703125" customWidth="1"/>
    <col min="8964" max="8964" width="10.5703125" bestFit="1" customWidth="1"/>
    <col min="8966" max="8966" width="10.140625" customWidth="1"/>
    <col min="8967" max="8967" width="12.28515625" customWidth="1"/>
    <col min="8968" max="8968" width="10.85546875" bestFit="1" customWidth="1"/>
    <col min="8969" max="8969" width="11.140625" bestFit="1" customWidth="1"/>
    <col min="8970" max="8970" width="10.42578125" customWidth="1"/>
    <col min="9217" max="9217" width="53.28515625" customWidth="1"/>
    <col min="9218" max="9218" width="15.5703125" bestFit="1" customWidth="1"/>
    <col min="9219" max="9219" width="10.5703125" customWidth="1"/>
    <col min="9220" max="9220" width="10.5703125" bestFit="1" customWidth="1"/>
    <col min="9222" max="9222" width="10.140625" customWidth="1"/>
    <col min="9223" max="9223" width="12.28515625" customWidth="1"/>
    <col min="9224" max="9224" width="10.85546875" bestFit="1" customWidth="1"/>
    <col min="9225" max="9225" width="11.140625" bestFit="1" customWidth="1"/>
    <col min="9226" max="9226" width="10.42578125" customWidth="1"/>
    <col min="9473" max="9473" width="53.28515625" customWidth="1"/>
    <col min="9474" max="9474" width="15.5703125" bestFit="1" customWidth="1"/>
    <col min="9475" max="9475" width="10.5703125" customWidth="1"/>
    <col min="9476" max="9476" width="10.5703125" bestFit="1" customWidth="1"/>
    <col min="9478" max="9478" width="10.140625" customWidth="1"/>
    <col min="9479" max="9479" width="12.28515625" customWidth="1"/>
    <col min="9480" max="9480" width="10.85546875" bestFit="1" customWidth="1"/>
    <col min="9481" max="9481" width="11.140625" bestFit="1" customWidth="1"/>
    <col min="9482" max="9482" width="10.42578125" customWidth="1"/>
    <col min="9729" max="9729" width="53.28515625" customWidth="1"/>
    <col min="9730" max="9730" width="15.5703125" bestFit="1" customWidth="1"/>
    <col min="9731" max="9731" width="10.5703125" customWidth="1"/>
    <col min="9732" max="9732" width="10.5703125" bestFit="1" customWidth="1"/>
    <col min="9734" max="9734" width="10.140625" customWidth="1"/>
    <col min="9735" max="9735" width="12.28515625" customWidth="1"/>
    <col min="9736" max="9736" width="10.85546875" bestFit="1" customWidth="1"/>
    <col min="9737" max="9737" width="11.140625" bestFit="1" customWidth="1"/>
    <col min="9738" max="9738" width="10.42578125" customWidth="1"/>
    <col min="9985" max="9985" width="53.28515625" customWidth="1"/>
    <col min="9986" max="9986" width="15.5703125" bestFit="1" customWidth="1"/>
    <col min="9987" max="9987" width="10.5703125" customWidth="1"/>
    <col min="9988" max="9988" width="10.5703125" bestFit="1" customWidth="1"/>
    <col min="9990" max="9990" width="10.140625" customWidth="1"/>
    <col min="9991" max="9991" width="12.28515625" customWidth="1"/>
    <col min="9992" max="9992" width="10.85546875" bestFit="1" customWidth="1"/>
    <col min="9993" max="9993" width="11.140625" bestFit="1" customWidth="1"/>
    <col min="9994" max="9994" width="10.42578125" customWidth="1"/>
    <col min="10241" max="10241" width="53.28515625" customWidth="1"/>
    <col min="10242" max="10242" width="15.5703125" bestFit="1" customWidth="1"/>
    <col min="10243" max="10243" width="10.5703125" customWidth="1"/>
    <col min="10244" max="10244" width="10.5703125" bestFit="1" customWidth="1"/>
    <col min="10246" max="10246" width="10.140625" customWidth="1"/>
    <col min="10247" max="10247" width="12.28515625" customWidth="1"/>
    <col min="10248" max="10248" width="10.85546875" bestFit="1" customWidth="1"/>
    <col min="10249" max="10249" width="11.140625" bestFit="1" customWidth="1"/>
    <col min="10250" max="10250" width="10.42578125" customWidth="1"/>
    <col min="10497" max="10497" width="53.28515625" customWidth="1"/>
    <col min="10498" max="10498" width="15.5703125" bestFit="1" customWidth="1"/>
    <col min="10499" max="10499" width="10.5703125" customWidth="1"/>
    <col min="10500" max="10500" width="10.5703125" bestFit="1" customWidth="1"/>
    <col min="10502" max="10502" width="10.140625" customWidth="1"/>
    <col min="10503" max="10503" width="12.28515625" customWidth="1"/>
    <col min="10504" max="10504" width="10.85546875" bestFit="1" customWidth="1"/>
    <col min="10505" max="10505" width="11.140625" bestFit="1" customWidth="1"/>
    <col min="10506" max="10506" width="10.42578125" customWidth="1"/>
    <col min="10753" max="10753" width="53.28515625" customWidth="1"/>
    <col min="10754" max="10754" width="15.5703125" bestFit="1" customWidth="1"/>
    <col min="10755" max="10755" width="10.5703125" customWidth="1"/>
    <col min="10756" max="10756" width="10.5703125" bestFit="1" customWidth="1"/>
    <col min="10758" max="10758" width="10.140625" customWidth="1"/>
    <col min="10759" max="10759" width="12.28515625" customWidth="1"/>
    <col min="10760" max="10760" width="10.85546875" bestFit="1" customWidth="1"/>
    <col min="10761" max="10761" width="11.140625" bestFit="1" customWidth="1"/>
    <col min="10762" max="10762" width="10.42578125" customWidth="1"/>
    <col min="11009" max="11009" width="53.28515625" customWidth="1"/>
    <col min="11010" max="11010" width="15.5703125" bestFit="1" customWidth="1"/>
    <col min="11011" max="11011" width="10.5703125" customWidth="1"/>
    <col min="11012" max="11012" width="10.5703125" bestFit="1" customWidth="1"/>
    <col min="11014" max="11014" width="10.140625" customWidth="1"/>
    <col min="11015" max="11015" width="12.28515625" customWidth="1"/>
    <col min="11016" max="11016" width="10.85546875" bestFit="1" customWidth="1"/>
    <col min="11017" max="11017" width="11.140625" bestFit="1" customWidth="1"/>
    <col min="11018" max="11018" width="10.42578125" customWidth="1"/>
    <col min="11265" max="11265" width="53.28515625" customWidth="1"/>
    <col min="11266" max="11266" width="15.5703125" bestFit="1" customWidth="1"/>
    <col min="11267" max="11267" width="10.5703125" customWidth="1"/>
    <col min="11268" max="11268" width="10.5703125" bestFit="1" customWidth="1"/>
    <col min="11270" max="11270" width="10.140625" customWidth="1"/>
    <col min="11271" max="11271" width="12.28515625" customWidth="1"/>
    <col min="11272" max="11272" width="10.85546875" bestFit="1" customWidth="1"/>
    <col min="11273" max="11273" width="11.140625" bestFit="1" customWidth="1"/>
    <col min="11274" max="11274" width="10.42578125" customWidth="1"/>
    <col min="11521" max="11521" width="53.28515625" customWidth="1"/>
    <col min="11522" max="11522" width="15.5703125" bestFit="1" customWidth="1"/>
    <col min="11523" max="11523" width="10.5703125" customWidth="1"/>
    <col min="11524" max="11524" width="10.5703125" bestFit="1" customWidth="1"/>
    <col min="11526" max="11526" width="10.140625" customWidth="1"/>
    <col min="11527" max="11527" width="12.28515625" customWidth="1"/>
    <col min="11528" max="11528" width="10.85546875" bestFit="1" customWidth="1"/>
    <col min="11529" max="11529" width="11.140625" bestFit="1" customWidth="1"/>
    <col min="11530" max="11530" width="10.42578125" customWidth="1"/>
    <col min="11777" max="11777" width="53.28515625" customWidth="1"/>
    <col min="11778" max="11778" width="15.5703125" bestFit="1" customWidth="1"/>
    <col min="11779" max="11779" width="10.5703125" customWidth="1"/>
    <col min="11780" max="11780" width="10.5703125" bestFit="1" customWidth="1"/>
    <col min="11782" max="11782" width="10.140625" customWidth="1"/>
    <col min="11783" max="11783" width="12.28515625" customWidth="1"/>
    <col min="11784" max="11784" width="10.85546875" bestFit="1" customWidth="1"/>
    <col min="11785" max="11785" width="11.140625" bestFit="1" customWidth="1"/>
    <col min="11786" max="11786" width="10.42578125" customWidth="1"/>
    <col min="12033" max="12033" width="53.28515625" customWidth="1"/>
    <col min="12034" max="12034" width="15.5703125" bestFit="1" customWidth="1"/>
    <col min="12035" max="12035" width="10.5703125" customWidth="1"/>
    <col min="12036" max="12036" width="10.5703125" bestFit="1" customWidth="1"/>
    <col min="12038" max="12038" width="10.140625" customWidth="1"/>
    <col min="12039" max="12039" width="12.28515625" customWidth="1"/>
    <col min="12040" max="12040" width="10.85546875" bestFit="1" customWidth="1"/>
    <col min="12041" max="12041" width="11.140625" bestFit="1" customWidth="1"/>
    <col min="12042" max="12042" width="10.42578125" customWidth="1"/>
    <col min="12289" max="12289" width="53.28515625" customWidth="1"/>
    <col min="12290" max="12290" width="15.5703125" bestFit="1" customWidth="1"/>
    <col min="12291" max="12291" width="10.5703125" customWidth="1"/>
    <col min="12292" max="12292" width="10.5703125" bestFit="1" customWidth="1"/>
    <col min="12294" max="12294" width="10.140625" customWidth="1"/>
    <col min="12295" max="12295" width="12.28515625" customWidth="1"/>
    <col min="12296" max="12296" width="10.85546875" bestFit="1" customWidth="1"/>
    <col min="12297" max="12297" width="11.140625" bestFit="1" customWidth="1"/>
    <col min="12298" max="12298" width="10.42578125" customWidth="1"/>
    <col min="12545" max="12545" width="53.28515625" customWidth="1"/>
    <col min="12546" max="12546" width="15.5703125" bestFit="1" customWidth="1"/>
    <col min="12547" max="12547" width="10.5703125" customWidth="1"/>
    <col min="12548" max="12548" width="10.5703125" bestFit="1" customWidth="1"/>
    <col min="12550" max="12550" width="10.140625" customWidth="1"/>
    <col min="12551" max="12551" width="12.28515625" customWidth="1"/>
    <col min="12552" max="12552" width="10.85546875" bestFit="1" customWidth="1"/>
    <col min="12553" max="12553" width="11.140625" bestFit="1" customWidth="1"/>
    <col min="12554" max="12554" width="10.42578125" customWidth="1"/>
    <col min="12801" max="12801" width="53.28515625" customWidth="1"/>
    <col min="12802" max="12802" width="15.5703125" bestFit="1" customWidth="1"/>
    <col min="12803" max="12803" width="10.5703125" customWidth="1"/>
    <col min="12804" max="12804" width="10.5703125" bestFit="1" customWidth="1"/>
    <col min="12806" max="12806" width="10.140625" customWidth="1"/>
    <col min="12807" max="12807" width="12.28515625" customWidth="1"/>
    <col min="12808" max="12808" width="10.85546875" bestFit="1" customWidth="1"/>
    <col min="12809" max="12809" width="11.140625" bestFit="1" customWidth="1"/>
    <col min="12810" max="12810" width="10.42578125" customWidth="1"/>
    <col min="13057" max="13057" width="53.28515625" customWidth="1"/>
    <col min="13058" max="13058" width="15.5703125" bestFit="1" customWidth="1"/>
    <col min="13059" max="13059" width="10.5703125" customWidth="1"/>
    <col min="13060" max="13060" width="10.5703125" bestFit="1" customWidth="1"/>
    <col min="13062" max="13062" width="10.140625" customWidth="1"/>
    <col min="13063" max="13063" width="12.28515625" customWidth="1"/>
    <col min="13064" max="13064" width="10.85546875" bestFit="1" customWidth="1"/>
    <col min="13065" max="13065" width="11.140625" bestFit="1" customWidth="1"/>
    <col min="13066" max="13066" width="10.42578125" customWidth="1"/>
    <col min="13313" max="13313" width="53.28515625" customWidth="1"/>
    <col min="13314" max="13314" width="15.5703125" bestFit="1" customWidth="1"/>
    <col min="13315" max="13315" width="10.5703125" customWidth="1"/>
    <col min="13316" max="13316" width="10.5703125" bestFit="1" customWidth="1"/>
    <col min="13318" max="13318" width="10.140625" customWidth="1"/>
    <col min="13319" max="13319" width="12.28515625" customWidth="1"/>
    <col min="13320" max="13320" width="10.85546875" bestFit="1" customWidth="1"/>
    <col min="13321" max="13321" width="11.140625" bestFit="1" customWidth="1"/>
    <col min="13322" max="13322" width="10.42578125" customWidth="1"/>
    <col min="13569" max="13569" width="53.28515625" customWidth="1"/>
    <col min="13570" max="13570" width="15.5703125" bestFit="1" customWidth="1"/>
    <col min="13571" max="13571" width="10.5703125" customWidth="1"/>
    <col min="13572" max="13572" width="10.5703125" bestFit="1" customWidth="1"/>
    <col min="13574" max="13574" width="10.140625" customWidth="1"/>
    <col min="13575" max="13575" width="12.28515625" customWidth="1"/>
    <col min="13576" max="13576" width="10.85546875" bestFit="1" customWidth="1"/>
    <col min="13577" max="13577" width="11.140625" bestFit="1" customWidth="1"/>
    <col min="13578" max="13578" width="10.42578125" customWidth="1"/>
    <col min="13825" max="13825" width="53.28515625" customWidth="1"/>
    <col min="13826" max="13826" width="15.5703125" bestFit="1" customWidth="1"/>
    <col min="13827" max="13827" width="10.5703125" customWidth="1"/>
    <col min="13828" max="13828" width="10.5703125" bestFit="1" customWidth="1"/>
    <col min="13830" max="13830" width="10.140625" customWidth="1"/>
    <col min="13831" max="13831" width="12.28515625" customWidth="1"/>
    <col min="13832" max="13832" width="10.85546875" bestFit="1" customWidth="1"/>
    <col min="13833" max="13833" width="11.140625" bestFit="1" customWidth="1"/>
    <col min="13834" max="13834" width="10.42578125" customWidth="1"/>
    <col min="14081" max="14081" width="53.28515625" customWidth="1"/>
    <col min="14082" max="14082" width="15.5703125" bestFit="1" customWidth="1"/>
    <col min="14083" max="14083" width="10.5703125" customWidth="1"/>
    <col min="14084" max="14084" width="10.5703125" bestFit="1" customWidth="1"/>
    <col min="14086" max="14086" width="10.140625" customWidth="1"/>
    <col min="14087" max="14087" width="12.28515625" customWidth="1"/>
    <col min="14088" max="14088" width="10.85546875" bestFit="1" customWidth="1"/>
    <col min="14089" max="14089" width="11.140625" bestFit="1" customWidth="1"/>
    <col min="14090" max="14090" width="10.42578125" customWidth="1"/>
    <col min="14337" max="14337" width="53.28515625" customWidth="1"/>
    <col min="14338" max="14338" width="15.5703125" bestFit="1" customWidth="1"/>
    <col min="14339" max="14339" width="10.5703125" customWidth="1"/>
    <col min="14340" max="14340" width="10.5703125" bestFit="1" customWidth="1"/>
    <col min="14342" max="14342" width="10.140625" customWidth="1"/>
    <col min="14343" max="14343" width="12.28515625" customWidth="1"/>
    <col min="14344" max="14344" width="10.85546875" bestFit="1" customWidth="1"/>
    <col min="14345" max="14345" width="11.140625" bestFit="1" customWidth="1"/>
    <col min="14346" max="14346" width="10.42578125" customWidth="1"/>
    <col min="14593" max="14593" width="53.28515625" customWidth="1"/>
    <col min="14594" max="14594" width="15.5703125" bestFit="1" customWidth="1"/>
    <col min="14595" max="14595" width="10.5703125" customWidth="1"/>
    <col min="14596" max="14596" width="10.5703125" bestFit="1" customWidth="1"/>
    <col min="14598" max="14598" width="10.140625" customWidth="1"/>
    <col min="14599" max="14599" width="12.28515625" customWidth="1"/>
    <col min="14600" max="14600" width="10.85546875" bestFit="1" customWidth="1"/>
    <col min="14601" max="14601" width="11.140625" bestFit="1" customWidth="1"/>
    <col min="14602" max="14602" width="10.42578125" customWidth="1"/>
    <col min="14849" max="14849" width="53.28515625" customWidth="1"/>
    <col min="14850" max="14850" width="15.5703125" bestFit="1" customWidth="1"/>
    <col min="14851" max="14851" width="10.5703125" customWidth="1"/>
    <col min="14852" max="14852" width="10.5703125" bestFit="1" customWidth="1"/>
    <col min="14854" max="14854" width="10.140625" customWidth="1"/>
    <col min="14855" max="14855" width="12.28515625" customWidth="1"/>
    <col min="14856" max="14856" width="10.85546875" bestFit="1" customWidth="1"/>
    <col min="14857" max="14857" width="11.140625" bestFit="1" customWidth="1"/>
    <col min="14858" max="14858" width="10.42578125" customWidth="1"/>
    <col min="15105" max="15105" width="53.28515625" customWidth="1"/>
    <col min="15106" max="15106" width="15.5703125" bestFit="1" customWidth="1"/>
    <col min="15107" max="15107" width="10.5703125" customWidth="1"/>
    <col min="15108" max="15108" width="10.5703125" bestFit="1" customWidth="1"/>
    <col min="15110" max="15110" width="10.140625" customWidth="1"/>
    <col min="15111" max="15111" width="12.28515625" customWidth="1"/>
    <col min="15112" max="15112" width="10.85546875" bestFit="1" customWidth="1"/>
    <col min="15113" max="15113" width="11.140625" bestFit="1" customWidth="1"/>
    <col min="15114" max="15114" width="10.42578125" customWidth="1"/>
    <col min="15361" max="15361" width="53.28515625" customWidth="1"/>
    <col min="15362" max="15362" width="15.5703125" bestFit="1" customWidth="1"/>
    <col min="15363" max="15363" width="10.5703125" customWidth="1"/>
    <col min="15364" max="15364" width="10.5703125" bestFit="1" customWidth="1"/>
    <col min="15366" max="15366" width="10.140625" customWidth="1"/>
    <col min="15367" max="15367" width="12.28515625" customWidth="1"/>
    <col min="15368" max="15368" width="10.85546875" bestFit="1" customWidth="1"/>
    <col min="15369" max="15369" width="11.140625" bestFit="1" customWidth="1"/>
    <col min="15370" max="15370" width="10.42578125" customWidth="1"/>
    <col min="15617" max="15617" width="53.28515625" customWidth="1"/>
    <col min="15618" max="15618" width="15.5703125" bestFit="1" customWidth="1"/>
    <col min="15619" max="15619" width="10.5703125" customWidth="1"/>
    <col min="15620" max="15620" width="10.5703125" bestFit="1" customWidth="1"/>
    <col min="15622" max="15622" width="10.140625" customWidth="1"/>
    <col min="15623" max="15623" width="12.28515625" customWidth="1"/>
    <col min="15624" max="15624" width="10.85546875" bestFit="1" customWidth="1"/>
    <col min="15625" max="15625" width="11.140625" bestFit="1" customWidth="1"/>
    <col min="15626" max="15626" width="10.42578125" customWidth="1"/>
    <col min="15873" max="15873" width="53.28515625" customWidth="1"/>
    <col min="15874" max="15874" width="15.5703125" bestFit="1" customWidth="1"/>
    <col min="15875" max="15875" width="10.5703125" customWidth="1"/>
    <col min="15876" max="15876" width="10.5703125" bestFit="1" customWidth="1"/>
    <col min="15878" max="15878" width="10.140625" customWidth="1"/>
    <col min="15879" max="15879" width="12.28515625" customWidth="1"/>
    <col min="15880" max="15880" width="10.85546875" bestFit="1" customWidth="1"/>
    <col min="15881" max="15881" width="11.140625" bestFit="1" customWidth="1"/>
    <col min="15882" max="15882" width="10.42578125" customWidth="1"/>
    <col min="16129" max="16129" width="53.28515625" customWidth="1"/>
    <col min="16130" max="16130" width="15.5703125" bestFit="1" customWidth="1"/>
    <col min="16131" max="16131" width="10.5703125" customWidth="1"/>
    <col min="16132" max="16132" width="10.5703125" bestFit="1" customWidth="1"/>
    <col min="16134" max="16134" width="10.140625" customWidth="1"/>
    <col min="16135" max="16135" width="12.28515625" customWidth="1"/>
    <col min="16136" max="16136" width="10.85546875" bestFit="1" customWidth="1"/>
    <col min="16137" max="16137" width="11.140625" bestFit="1" customWidth="1"/>
    <col min="16138" max="16138" width="10.42578125" customWidth="1"/>
  </cols>
  <sheetData>
    <row r="1" spans="1:11" ht="16.5" thickBot="1" x14ac:dyDescent="0.3">
      <c r="A1" s="107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3" spans="1:11" x14ac:dyDescent="0.2">
      <c r="A3" s="11" t="s">
        <v>0</v>
      </c>
      <c r="B3" s="11" t="s">
        <v>63</v>
      </c>
    </row>
    <row r="4" spans="1:11" x14ac:dyDescent="0.2">
      <c r="A4" s="13" t="s">
        <v>40</v>
      </c>
      <c r="B4" s="76">
        <v>1500</v>
      </c>
    </row>
    <row r="5" spans="1:11" x14ac:dyDescent="0.2">
      <c r="A5" s="13" t="s">
        <v>3</v>
      </c>
      <c r="B5" s="13">
        <f>VLOOKUP($B$3,'Data for Bill Impacts'!$A$3:$Z$3,5,0)</f>
        <v>0</v>
      </c>
    </row>
    <row r="6" spans="1:11" x14ac:dyDescent="0.2">
      <c r="A6" s="13" t="s">
        <v>6</v>
      </c>
      <c r="B6" s="13">
        <f>VLOOKUP($B$3,'Data for Bill Impacts'!$A$3:$Z$3,2,0)</f>
        <v>1.0564</v>
      </c>
    </row>
    <row r="7" spans="1:11" x14ac:dyDescent="0.2">
      <c r="A7" s="13" t="s">
        <v>2</v>
      </c>
      <c r="B7" s="13">
        <f>VLOOKUP($B$3,'Data for Bill Impacts'!$A$3:$Z$3,4,0)</f>
        <v>600</v>
      </c>
    </row>
    <row r="8" spans="1:11" x14ac:dyDescent="0.2">
      <c r="A8" s="13" t="s">
        <v>50</v>
      </c>
      <c r="B8" s="101">
        <f>B4*B6</f>
        <v>1584.6</v>
      </c>
    </row>
    <row r="9" spans="1:11" x14ac:dyDescent="0.2">
      <c r="A9" s="13" t="s">
        <v>7</v>
      </c>
      <c r="B9" s="14" t="str">
        <f>VLOOKUP($B$3,'Data for Bill Impacts'!$A$3:$Z$3,6,0)</f>
        <v>kWh</v>
      </c>
    </row>
    <row r="10" spans="1:11" ht="13.5" thickBot="1" x14ac:dyDescent="0.25"/>
    <row r="11" spans="1:11" s="18" customFormat="1" ht="39" thickBot="1" x14ac:dyDescent="0.25">
      <c r="A11" s="15"/>
      <c r="B11" s="16" t="s">
        <v>8</v>
      </c>
      <c r="C11" s="16" t="s">
        <v>9</v>
      </c>
      <c r="D11" s="16" t="s">
        <v>10</v>
      </c>
      <c r="E11" s="16" t="s">
        <v>8</v>
      </c>
      <c r="F11" s="16" t="s">
        <v>11</v>
      </c>
      <c r="G11" s="16" t="s">
        <v>12</v>
      </c>
      <c r="H11" s="16" t="s">
        <v>13</v>
      </c>
      <c r="I11" s="16" t="s">
        <v>14</v>
      </c>
      <c r="J11" s="16" t="s">
        <v>15</v>
      </c>
      <c r="K11" s="17" t="s">
        <v>16</v>
      </c>
    </row>
    <row r="12" spans="1:11" x14ac:dyDescent="0.2">
      <c r="A12" s="78" t="s">
        <v>17</v>
      </c>
      <c r="B12" s="79">
        <f>IF(B4&gt;B7,B7,B4)</f>
        <v>600</v>
      </c>
      <c r="C12" s="80">
        <v>9.4E-2</v>
      </c>
      <c r="D12" s="81">
        <f>B12*C12</f>
        <v>56.4</v>
      </c>
      <c r="E12" s="79">
        <f>B12</f>
        <v>600</v>
      </c>
      <c r="F12" s="80">
        <f>C12</f>
        <v>9.4E-2</v>
      </c>
      <c r="G12" s="81">
        <f>E12*F12</f>
        <v>56.4</v>
      </c>
      <c r="H12" s="81">
        <f>G12-D12</f>
        <v>0</v>
      </c>
      <c r="I12" s="82">
        <f>IF(ISERROR(H12/D12),0,(H12/D12))</f>
        <v>0</v>
      </c>
      <c r="J12" s="82">
        <f>G12/$G$43</f>
        <v>0.20630917693419154</v>
      </c>
      <c r="K12" s="83"/>
    </row>
    <row r="13" spans="1:11" x14ac:dyDescent="0.2">
      <c r="A13" s="84" t="s">
        <v>18</v>
      </c>
      <c r="B13" s="70">
        <f>IF(B4&gt;B7,(B4)-B7,0)</f>
        <v>900</v>
      </c>
      <c r="C13" s="19">
        <v>0.11</v>
      </c>
      <c r="D13" s="20">
        <f>B13*C13</f>
        <v>99</v>
      </c>
      <c r="E13" s="70">
        <f t="shared" ref="E13:E39" si="0">B13</f>
        <v>900</v>
      </c>
      <c r="F13" s="19">
        <f>C13</f>
        <v>0.11</v>
      </c>
      <c r="G13" s="20">
        <f>E13*F13</f>
        <v>99</v>
      </c>
      <c r="H13" s="20">
        <f t="shared" ref="H13:H43" si="1">G13-D13</f>
        <v>0</v>
      </c>
      <c r="I13" s="21">
        <f t="shared" ref="I13:I43" si="2">IF(ISERROR(H13/D13),0,(H13/D13))</f>
        <v>0</v>
      </c>
      <c r="J13" s="21">
        <f>G13/$G$43</f>
        <v>0.36213844887384689</v>
      </c>
      <c r="K13" s="85"/>
    </row>
    <row r="14" spans="1:11" s="1" customFormat="1" x14ac:dyDescent="0.2">
      <c r="A14" s="44" t="s">
        <v>19</v>
      </c>
      <c r="B14" s="22"/>
      <c r="C14" s="23"/>
      <c r="D14" s="23">
        <f>SUM(D12:D13)</f>
        <v>155.4</v>
      </c>
      <c r="E14" s="73"/>
      <c r="F14" s="23"/>
      <c r="G14" s="23">
        <f>SUM(G12:G13)</f>
        <v>155.4</v>
      </c>
      <c r="H14" s="23">
        <f t="shared" si="1"/>
        <v>0</v>
      </c>
      <c r="I14" s="25">
        <f t="shared" si="2"/>
        <v>0</v>
      </c>
      <c r="J14" s="25">
        <f>G14/$G$43</f>
        <v>0.56844762580803843</v>
      </c>
      <c r="K14" s="85"/>
    </row>
    <row r="15" spans="1:11" s="1" customFormat="1" x14ac:dyDescent="0.2">
      <c r="A15" s="86" t="s">
        <v>20</v>
      </c>
      <c r="B15" s="72">
        <f>B4*0.64</f>
        <v>960</v>
      </c>
      <c r="C15" s="26">
        <v>0.08</v>
      </c>
      <c r="D15" s="20">
        <f>B15*C15</f>
        <v>76.8</v>
      </c>
      <c r="E15" s="70">
        <f t="shared" ref="E15:F17" si="3">B15</f>
        <v>960</v>
      </c>
      <c r="F15" s="26">
        <f t="shared" si="3"/>
        <v>0.08</v>
      </c>
      <c r="G15" s="20">
        <f>E15*F15</f>
        <v>76.8</v>
      </c>
      <c r="H15" s="20">
        <f t="shared" si="1"/>
        <v>0</v>
      </c>
      <c r="I15" s="21">
        <f t="shared" si="2"/>
        <v>0</v>
      </c>
      <c r="J15" s="21"/>
      <c r="K15" s="85">
        <f t="shared" ref="K15:K35" si="4">G15/$G$46</f>
        <v>0.28428649852999827</v>
      </c>
    </row>
    <row r="16" spans="1:11" s="1" customFormat="1" x14ac:dyDescent="0.2">
      <c r="A16" s="86" t="s">
        <v>21</v>
      </c>
      <c r="B16" s="72">
        <f>B4*0.18</f>
        <v>270</v>
      </c>
      <c r="C16" s="26">
        <v>0.122</v>
      </c>
      <c r="D16" s="20">
        <f>B16*C16</f>
        <v>32.94</v>
      </c>
      <c r="E16" s="70">
        <f t="shared" si="3"/>
        <v>270</v>
      </c>
      <c r="F16" s="26">
        <f t="shared" si="3"/>
        <v>0.122</v>
      </c>
      <c r="G16" s="20">
        <f>E16*F16</f>
        <v>32.94</v>
      </c>
      <c r="H16" s="20">
        <f t="shared" si="1"/>
        <v>0</v>
      </c>
      <c r="I16" s="21">
        <f t="shared" si="2"/>
        <v>0</v>
      </c>
      <c r="J16" s="21"/>
      <c r="K16" s="85">
        <f t="shared" si="4"/>
        <v>0.12193225601013208</v>
      </c>
    </row>
    <row r="17" spans="1:11" s="1" customFormat="1" x14ac:dyDescent="0.2">
      <c r="A17" s="86" t="s">
        <v>22</v>
      </c>
      <c r="B17" s="72">
        <f>B4*0.18</f>
        <v>270</v>
      </c>
      <c r="C17" s="26">
        <v>0.161</v>
      </c>
      <c r="D17" s="20">
        <f>B17*C17</f>
        <v>43.47</v>
      </c>
      <c r="E17" s="70">
        <f t="shared" si="3"/>
        <v>270</v>
      </c>
      <c r="F17" s="26">
        <f t="shared" si="3"/>
        <v>0.161</v>
      </c>
      <c r="G17" s="20">
        <f>E17*F17</f>
        <v>43.47</v>
      </c>
      <c r="H17" s="20">
        <f t="shared" si="1"/>
        <v>0</v>
      </c>
      <c r="I17" s="21">
        <f t="shared" si="2"/>
        <v>0</v>
      </c>
      <c r="J17" s="21"/>
      <c r="K17" s="85">
        <f t="shared" si="4"/>
        <v>0.16091060014451855</v>
      </c>
    </row>
    <row r="18" spans="1:11" s="1" customFormat="1" x14ac:dyDescent="0.2">
      <c r="A18" s="58" t="s">
        <v>23</v>
      </c>
      <c r="B18" s="27"/>
      <c r="C18" s="28"/>
      <c r="D18" s="28">
        <f>SUM(D15:D17)</f>
        <v>153.20999999999998</v>
      </c>
      <c r="E18" s="74"/>
      <c r="F18" s="28"/>
      <c r="G18" s="28">
        <f>SUM(G15:G17)</f>
        <v>153.20999999999998</v>
      </c>
      <c r="H18" s="29">
        <f t="shared" si="1"/>
        <v>0</v>
      </c>
      <c r="I18" s="30">
        <f t="shared" si="2"/>
        <v>0</v>
      </c>
      <c r="J18" s="31">
        <f t="shared" ref="J18:J35" si="5">G18/$G$43</f>
        <v>0.56043668436325322</v>
      </c>
      <c r="K18" s="59">
        <f t="shared" si="4"/>
        <v>0.56712935468464887</v>
      </c>
    </row>
    <row r="19" spans="1:11" x14ac:dyDescent="0.2">
      <c r="A19" s="98" t="s">
        <v>24</v>
      </c>
      <c r="B19" s="70">
        <v>1</v>
      </c>
      <c r="C19" s="91">
        <f>VLOOKUP($B$3,'Data for Bill Impacts'!$A$3:$AA$3,7,0)</f>
        <v>20.87</v>
      </c>
      <c r="D19" s="20">
        <f>B19*C19</f>
        <v>20.87</v>
      </c>
      <c r="E19" s="70">
        <f t="shared" si="0"/>
        <v>1</v>
      </c>
      <c r="F19" s="91">
        <f>VLOOKUP($B$3,'Data for Bill Impacts'!$A$3:$AA$3,18,0)</f>
        <v>24.85</v>
      </c>
      <c r="G19" s="20">
        <f>E19*F19</f>
        <v>24.85</v>
      </c>
      <c r="H19" s="20">
        <f t="shared" si="1"/>
        <v>3.9800000000000004</v>
      </c>
      <c r="I19" s="21">
        <f t="shared" si="2"/>
        <v>0.19070436032582655</v>
      </c>
      <c r="J19" s="21">
        <f t="shared" si="5"/>
        <v>9.0900408631465604E-2</v>
      </c>
      <c r="K19" s="85">
        <f t="shared" si="4"/>
        <v>9.1985930839459093E-2</v>
      </c>
    </row>
    <row r="20" spans="1:11" x14ac:dyDescent="0.2">
      <c r="A20" s="98" t="s">
        <v>74</v>
      </c>
      <c r="B20" s="70">
        <v>1</v>
      </c>
      <c r="C20" s="75">
        <f>VLOOKUP($B$3,'Data for Bill Impacts'!$A$3:$AA$3,8,0)</f>
        <v>1.03</v>
      </c>
      <c r="D20" s="20">
        <f>B20*C20</f>
        <v>1.03</v>
      </c>
      <c r="E20" s="70">
        <f t="shared" si="0"/>
        <v>1</v>
      </c>
      <c r="F20" s="91">
        <f>VLOOKUP($B$3,'Data for Bill Impacts'!$A$3:$AA$3,19,0)</f>
        <v>1.03</v>
      </c>
      <c r="G20" s="20">
        <f t="shared" ref="G20:G21" si="6">E20*F20</f>
        <v>1.03</v>
      </c>
      <c r="H20" s="20">
        <f t="shared" si="1"/>
        <v>0</v>
      </c>
      <c r="I20" s="21">
        <f t="shared" si="2"/>
        <v>0</v>
      </c>
      <c r="J20" s="21">
        <f t="shared" si="5"/>
        <v>3.7677030539400233E-3</v>
      </c>
      <c r="K20" s="85">
        <f t="shared" si="4"/>
        <v>3.8126965297643001E-3</v>
      </c>
    </row>
    <row r="21" spans="1:11" x14ac:dyDescent="0.2">
      <c r="A21" s="98" t="s">
        <v>65</v>
      </c>
      <c r="B21" s="70">
        <v>1</v>
      </c>
      <c r="C21" s="75">
        <f>VLOOKUP($B$3,'Data for Bill Impacts'!$A$3:$AA$3,10,0)</f>
        <v>-0.31</v>
      </c>
      <c r="D21" s="20">
        <f t="shared" ref="D21" si="7">B21*C21</f>
        <v>-0.31</v>
      </c>
      <c r="E21" s="70">
        <f t="shared" si="0"/>
        <v>1</v>
      </c>
      <c r="F21" s="91">
        <f>VLOOKUP($B$3,'Data for Bill Impacts'!$A$3:$AA$3,21,0)</f>
        <v>-0.37</v>
      </c>
      <c r="G21" s="20">
        <f t="shared" si="6"/>
        <v>-0.37</v>
      </c>
      <c r="H21" s="20">
        <f t="shared" si="1"/>
        <v>-0.06</v>
      </c>
      <c r="I21" s="21">
        <f t="shared" si="2"/>
        <v>0.19354838709677419</v>
      </c>
      <c r="J21" s="21">
        <f t="shared" si="5"/>
        <v>-1.3534467281143773E-3</v>
      </c>
      <c r="K21" s="85">
        <f t="shared" si="4"/>
        <v>-1.3696094330221272E-3</v>
      </c>
    </row>
    <row r="22" spans="1:11" x14ac:dyDescent="0.2">
      <c r="A22" s="98" t="s">
        <v>25</v>
      </c>
      <c r="B22" s="70">
        <f>IF($B$9="kWh",$B$4,$B$5)</f>
        <v>1500</v>
      </c>
      <c r="C22" s="75">
        <f>VLOOKUP($B$3,'Data for Bill Impacts'!$A$3:$AA$3,11,0)</f>
        <v>2.18E-2</v>
      </c>
      <c r="D22" s="20">
        <f>B22*C22</f>
        <v>32.700000000000003</v>
      </c>
      <c r="E22" s="70">
        <f t="shared" si="0"/>
        <v>1500</v>
      </c>
      <c r="F22" s="92">
        <f>VLOOKUP($B$3,'Data for Bill Impacts'!$A$3:$AA$3,22,0)</f>
        <v>1.6400000000000001E-2</v>
      </c>
      <c r="G22" s="20">
        <f>E22*F22</f>
        <v>24.6</v>
      </c>
      <c r="H22" s="20">
        <f t="shared" si="1"/>
        <v>-8.1000000000000014</v>
      </c>
      <c r="I22" s="21">
        <f t="shared" si="2"/>
        <v>-0.24770642201834864</v>
      </c>
      <c r="J22" s="21">
        <f t="shared" si="5"/>
        <v>8.9985917598955897E-2</v>
      </c>
      <c r="K22" s="85">
        <f t="shared" si="4"/>
        <v>9.1060519060390088E-2</v>
      </c>
    </row>
    <row r="23" spans="1:11" x14ac:dyDescent="0.2">
      <c r="A23" s="98" t="s">
        <v>66</v>
      </c>
      <c r="B23" s="70">
        <f>IF($B$9="kWh",$B$4,$B$5)</f>
        <v>1500</v>
      </c>
      <c r="C23" s="75">
        <f>VLOOKUP($B$3,'Data for Bill Impacts'!$A$3:$AA$3,12,0)</f>
        <v>-2.9999999999999997E-4</v>
      </c>
      <c r="D23" s="20">
        <f>B23*C23</f>
        <v>-0.44999999999999996</v>
      </c>
      <c r="E23" s="70">
        <f t="shared" si="0"/>
        <v>1500</v>
      </c>
      <c r="F23" s="75">
        <f>VLOOKUP($B$3,'Data for Bill Impacts'!$A$3:$AA$3,23,0)</f>
        <v>-2.0000000000000001E-4</v>
      </c>
      <c r="G23" s="20">
        <f>E23*F23</f>
        <v>-0.3</v>
      </c>
      <c r="H23" s="20">
        <f t="shared" si="1"/>
        <v>0.14999999999999997</v>
      </c>
      <c r="I23" s="21">
        <f>IF(ISERROR(H23/D23),0,(H23/D23))</f>
        <v>-0.33333333333333331</v>
      </c>
      <c r="J23" s="21">
        <f t="shared" si="5"/>
        <v>-1.0973892390116571E-3</v>
      </c>
      <c r="K23" s="85">
        <f t="shared" si="4"/>
        <v>-1.1104941348828057E-3</v>
      </c>
    </row>
    <row r="24" spans="1:11" x14ac:dyDescent="0.2">
      <c r="A24" s="98" t="s">
        <v>64</v>
      </c>
      <c r="B24" s="70">
        <f>IF($B$9="kWh",$B$4,$B$5)</f>
        <v>1500</v>
      </c>
      <c r="C24" s="75">
        <f>VLOOKUP($B$3,'Data for Bill Impacts'!$A$3:$AA$3,13,0)</f>
        <v>8.9999999999999998E-4</v>
      </c>
      <c r="D24" s="20">
        <f>B24*C24</f>
        <v>1.3499999999999999</v>
      </c>
      <c r="E24" s="70">
        <f t="shared" si="0"/>
        <v>1500</v>
      </c>
      <c r="F24" s="75">
        <f>VLOOKUP($B$3,'Data for Bill Impacts'!$A$3:$AA$3,24,0)</f>
        <v>8.9999999999999998E-4</v>
      </c>
      <c r="G24" s="20">
        <f>E24*F24</f>
        <v>1.3499999999999999</v>
      </c>
      <c r="H24" s="20">
        <f t="shared" si="1"/>
        <v>0</v>
      </c>
      <c r="I24" s="21">
        <f>IF(ISERROR(H24/D24),0,(H24/D24))</f>
        <v>0</v>
      </c>
      <c r="J24" s="21">
        <f t="shared" si="5"/>
        <v>4.9382515755524567E-3</v>
      </c>
      <c r="K24" s="85">
        <f t="shared" si="4"/>
        <v>4.9972236069726261E-3</v>
      </c>
    </row>
    <row r="25" spans="1:11" x14ac:dyDescent="0.2">
      <c r="A25" s="98" t="s">
        <v>55</v>
      </c>
      <c r="B25" s="70">
        <f>IF($B$9="kWh",$B$4,$B$5)</f>
        <v>1500</v>
      </c>
      <c r="C25" s="75">
        <f>VLOOKUP($B$3,'Data for Bill Impacts'!$A$3:$AA$3,14,0)</f>
        <v>2.0000000000000001E-4</v>
      </c>
      <c r="D25" s="20">
        <f>B25*C25</f>
        <v>0.3</v>
      </c>
      <c r="E25" s="70">
        <f t="shared" si="0"/>
        <v>1500</v>
      </c>
      <c r="F25" s="75">
        <f>VLOOKUP($B$3,'Data for Bill Impacts'!$A$3:$AA$3,25,0)</f>
        <v>2.0000000000000001E-4</v>
      </c>
      <c r="G25" s="20">
        <f>E25*F25</f>
        <v>0.3</v>
      </c>
      <c r="H25" s="20">
        <f t="shared" si="1"/>
        <v>0</v>
      </c>
      <c r="I25" s="21">
        <f>IF(ISERROR(H25/D25),0,(H25/D25))</f>
        <v>0</v>
      </c>
      <c r="J25" s="21">
        <f t="shared" si="5"/>
        <v>1.0973892390116571E-3</v>
      </c>
      <c r="K25" s="85">
        <f t="shared" si="4"/>
        <v>1.1104941348828057E-3</v>
      </c>
    </row>
    <row r="26" spans="1:11" s="1" customFormat="1" x14ac:dyDescent="0.2">
      <c r="A26" s="87" t="s">
        <v>43</v>
      </c>
      <c r="B26" s="71"/>
      <c r="C26" s="33"/>
      <c r="D26" s="33">
        <f>SUM(D19:D25)</f>
        <v>55.49</v>
      </c>
      <c r="E26" s="70"/>
      <c r="F26" s="33"/>
      <c r="G26" s="33">
        <f>SUM(G19:G25)</f>
        <v>51.46</v>
      </c>
      <c r="H26" s="33">
        <f t="shared" si="1"/>
        <v>-4.0300000000000011</v>
      </c>
      <c r="I26" s="34">
        <f t="shared" si="2"/>
        <v>-7.2625698324022367E-2</v>
      </c>
      <c r="J26" s="34">
        <f t="shared" si="5"/>
        <v>0.18823883413179959</v>
      </c>
      <c r="K26" s="88">
        <f t="shared" si="4"/>
        <v>0.19048676060356398</v>
      </c>
    </row>
    <row r="27" spans="1:11" s="1" customFormat="1" x14ac:dyDescent="0.2">
      <c r="A27" s="99" t="s">
        <v>44</v>
      </c>
      <c r="B27" s="89">
        <v>1</v>
      </c>
      <c r="C27" s="75">
        <f>VLOOKUP($B$3,'Data for Bill Impacts'!$A$3:$AA$3,9,0)</f>
        <v>0.79</v>
      </c>
      <c r="D27" s="20">
        <f>B27*C27</f>
        <v>0.79</v>
      </c>
      <c r="E27" s="70">
        <v>1</v>
      </c>
      <c r="F27" s="75">
        <f>VLOOKUP($B$3,'Data for Bill Impacts'!$A$3:$AA$3,20,0)</f>
        <v>0.79</v>
      </c>
      <c r="G27" s="20">
        <f>E27*F27</f>
        <v>0.79</v>
      </c>
      <c r="H27" s="20">
        <f t="shared" si="1"/>
        <v>0</v>
      </c>
      <c r="I27" s="21">
        <f>IF(ISERROR(H27/D27),0,(H27/D27))</f>
        <v>0</v>
      </c>
      <c r="J27" s="21">
        <f t="shared" si="5"/>
        <v>2.8897916627306976E-3</v>
      </c>
      <c r="K27" s="85">
        <f t="shared" si="4"/>
        <v>2.9243012218580556E-3</v>
      </c>
    </row>
    <row r="28" spans="1:11" s="1" customFormat="1" x14ac:dyDescent="0.2">
      <c r="A28" s="99" t="s">
        <v>46</v>
      </c>
      <c r="B28" s="89">
        <f>B8-B4</f>
        <v>84.599999999999909</v>
      </c>
      <c r="C28" s="90">
        <f>IF(B4&gt;B7,C13,C12)</f>
        <v>0.11</v>
      </c>
      <c r="D28" s="20">
        <f>B28*C28</f>
        <v>9.3059999999999903</v>
      </c>
      <c r="E28" s="70">
        <f>B28</f>
        <v>84.599999999999909</v>
      </c>
      <c r="F28" s="90">
        <f>C28</f>
        <v>0.11</v>
      </c>
      <c r="G28" s="20">
        <f>E28*F28</f>
        <v>9.3059999999999903</v>
      </c>
      <c r="H28" s="20">
        <f t="shared" si="1"/>
        <v>0</v>
      </c>
      <c r="I28" s="21">
        <f>IF(ISERROR(H28/D28),0,(H28/D28))</f>
        <v>0</v>
      </c>
      <c r="J28" s="21">
        <f t="shared" si="5"/>
        <v>3.4041014194141572E-2</v>
      </c>
      <c r="K28" s="85">
        <f t="shared" si="4"/>
        <v>3.4447528064064599E-2</v>
      </c>
    </row>
    <row r="29" spans="1:11" s="1" customFormat="1" x14ac:dyDescent="0.2">
      <c r="A29" s="99" t="s">
        <v>45</v>
      </c>
      <c r="B29" s="89">
        <f>B8-B4</f>
        <v>84.599999999999909</v>
      </c>
      <c r="C29" s="90">
        <f>0.64*C15+0.18*C16+0.18*C17</f>
        <v>0.10214000000000001</v>
      </c>
      <c r="D29" s="20">
        <f>B29*C29</f>
        <v>8.641043999999992</v>
      </c>
      <c r="E29" s="70">
        <f>B29</f>
        <v>84.599999999999909</v>
      </c>
      <c r="F29" s="90">
        <f>C29</f>
        <v>0.10214000000000001</v>
      </c>
      <c r="G29" s="20">
        <f>E29*F29</f>
        <v>8.641043999999992</v>
      </c>
      <c r="H29" s="20">
        <f t="shared" si="1"/>
        <v>0</v>
      </c>
      <c r="I29" s="21">
        <f>IF(ISERROR(H29/D29),0,(H29/D29))</f>
        <v>0</v>
      </c>
      <c r="J29" s="21">
        <f t="shared" si="5"/>
        <v>3.160862899808746E-2</v>
      </c>
      <c r="K29" s="85">
        <f t="shared" si="4"/>
        <v>3.1986095604214171E-2</v>
      </c>
    </row>
    <row r="30" spans="1:11" s="1" customFormat="1" x14ac:dyDescent="0.2">
      <c r="A30" s="87" t="s">
        <v>49</v>
      </c>
      <c r="B30" s="71"/>
      <c r="C30" s="33"/>
      <c r="D30" s="33">
        <f>SUM(D26,D27:D28)</f>
        <v>65.585999999999984</v>
      </c>
      <c r="E30" s="70"/>
      <c r="F30" s="33"/>
      <c r="G30" s="33">
        <f>SUM(G26,G27:G28)</f>
        <v>61.55599999999999</v>
      </c>
      <c r="H30" s="33">
        <f t="shared" si="1"/>
        <v>-4.029999999999994</v>
      </c>
      <c r="I30" s="34">
        <f>IF(ISERROR(H30/D30),0,(H30/D30))</f>
        <v>-6.1446040313481456E-2</v>
      </c>
      <c r="J30" s="34">
        <f t="shared" si="5"/>
        <v>0.22516963998867187</v>
      </c>
      <c r="K30" s="88">
        <f t="shared" si="4"/>
        <v>0.22785858988948662</v>
      </c>
    </row>
    <row r="31" spans="1:11" s="1" customFormat="1" x14ac:dyDescent="0.2">
      <c r="A31" s="87" t="s">
        <v>48</v>
      </c>
      <c r="B31" s="71"/>
      <c r="C31" s="33"/>
      <c r="D31" s="33">
        <f>SUM(D26,D27,D29)</f>
        <v>64.921043999999995</v>
      </c>
      <c r="E31" s="70"/>
      <c r="F31" s="33"/>
      <c r="G31" s="33">
        <f>SUM(G26,G27,G29)</f>
        <v>60.891043999999994</v>
      </c>
      <c r="H31" s="33">
        <f t="shared" si="1"/>
        <v>-4.0300000000000011</v>
      </c>
      <c r="I31" s="34">
        <f>IF(ISERROR(H31/D31),0,(H31/D31))</f>
        <v>-6.2075403470098253E-2</v>
      </c>
      <c r="J31" s="34">
        <f t="shared" si="5"/>
        <v>0.22273725479261777</v>
      </c>
      <c r="K31" s="88">
        <f t="shared" si="4"/>
        <v>0.2253971574296362</v>
      </c>
    </row>
    <row r="32" spans="1:11" x14ac:dyDescent="0.2">
      <c r="A32" s="98" t="s">
        <v>26</v>
      </c>
      <c r="B32" s="70">
        <f>B8</f>
        <v>1584.6</v>
      </c>
      <c r="C32" s="75">
        <f>VLOOKUP($B$3,'Data for Bill Impacts'!$A$3:$AA$3,15,0)</f>
        <v>6.7000000000000002E-3</v>
      </c>
      <c r="D32" s="20">
        <f>B32*C32</f>
        <v>10.616820000000001</v>
      </c>
      <c r="E32" s="70">
        <f t="shared" si="0"/>
        <v>1584.6</v>
      </c>
      <c r="F32" s="75">
        <f>VLOOKUP($B$3,'Data for Bill Impacts'!$A$3:$AA$3,26,0)</f>
        <v>6.7000000000000002E-3</v>
      </c>
      <c r="G32" s="20">
        <f>E32*F32</f>
        <v>10.616820000000001</v>
      </c>
      <c r="H32" s="20">
        <f t="shared" si="1"/>
        <v>0</v>
      </c>
      <c r="I32" s="21">
        <f t="shared" si="2"/>
        <v>0</v>
      </c>
      <c r="J32" s="21">
        <f t="shared" si="5"/>
        <v>3.8835946735079147E-2</v>
      </c>
      <c r="K32" s="85">
        <f t="shared" si="4"/>
        <v>3.929972113702157E-2</v>
      </c>
    </row>
    <row r="33" spans="1:11" x14ac:dyDescent="0.2">
      <c r="A33" s="98" t="s">
        <v>27</v>
      </c>
      <c r="B33" s="70">
        <f>B8</f>
        <v>1584.6</v>
      </c>
      <c r="C33" s="75">
        <f>VLOOKUP($B$3,'Data for Bill Impacts'!$A$3:$AA$3,16,0)</f>
        <v>3.2000000000000002E-3</v>
      </c>
      <c r="D33" s="20">
        <f>B33*C33</f>
        <v>5.0707199999999997</v>
      </c>
      <c r="E33" s="70">
        <f t="shared" si="0"/>
        <v>1584.6</v>
      </c>
      <c r="F33" s="75">
        <f>VLOOKUP($B$3,'Data for Bill Impacts'!$A$3:$AA$3,27,0)</f>
        <v>3.2000000000000002E-3</v>
      </c>
      <c r="G33" s="20">
        <f>E33*F33</f>
        <v>5.0707199999999997</v>
      </c>
      <c r="H33" s="20">
        <f t="shared" si="1"/>
        <v>0</v>
      </c>
      <c r="I33" s="21">
        <f t="shared" si="2"/>
        <v>0</v>
      </c>
      <c r="J33" s="21">
        <f t="shared" si="5"/>
        <v>1.8548511873470633E-2</v>
      </c>
      <c r="K33" s="85">
        <f t="shared" si="4"/>
        <v>1.8770016065443137E-2</v>
      </c>
    </row>
    <row r="34" spans="1:11" s="1" customFormat="1" x14ac:dyDescent="0.2">
      <c r="A34" s="87" t="s">
        <v>47</v>
      </c>
      <c r="B34" s="71"/>
      <c r="C34" s="33"/>
      <c r="D34" s="33">
        <f>SUM(D32:D33)</f>
        <v>15.68754</v>
      </c>
      <c r="E34" s="70"/>
      <c r="F34" s="33"/>
      <c r="G34" s="33">
        <f>SUM(G32:G33)</f>
        <v>15.68754</v>
      </c>
      <c r="H34" s="33">
        <f t="shared" si="1"/>
        <v>0</v>
      </c>
      <c r="I34" s="34">
        <f t="shared" si="2"/>
        <v>0</v>
      </c>
      <c r="J34" s="34">
        <f t="shared" si="5"/>
        <v>5.7384458608549779E-2</v>
      </c>
      <c r="K34" s="88">
        <f t="shared" si="4"/>
        <v>5.8069737202464708E-2</v>
      </c>
    </row>
    <row r="35" spans="1:11" s="1" customFormat="1" x14ac:dyDescent="0.2">
      <c r="A35" s="87" t="s">
        <v>51</v>
      </c>
      <c r="B35" s="71"/>
      <c r="C35" s="33"/>
      <c r="D35" s="33">
        <f>D30+D34</f>
        <v>81.273539999999983</v>
      </c>
      <c r="E35" s="70"/>
      <c r="F35" s="33"/>
      <c r="G35" s="33">
        <f>G30+G34</f>
        <v>77.243539999999996</v>
      </c>
      <c r="H35" s="33">
        <f t="shared" si="1"/>
        <v>-4.0299999999999869</v>
      </c>
      <c r="I35" s="34">
        <f t="shared" si="2"/>
        <v>-4.9585633897575865E-2</v>
      </c>
      <c r="J35" s="34">
        <f t="shared" si="5"/>
        <v>0.28255409859722164</v>
      </c>
      <c r="K35" s="88">
        <f t="shared" si="4"/>
        <v>0.28592832709195137</v>
      </c>
    </row>
    <row r="36" spans="1:11" s="1" customFormat="1" x14ac:dyDescent="0.2">
      <c r="A36" s="87" t="s">
        <v>52</v>
      </c>
      <c r="B36" s="71"/>
      <c r="C36" s="33"/>
      <c r="D36" s="33">
        <f>D31+D34</f>
        <v>80.608583999999993</v>
      </c>
      <c r="E36" s="70"/>
      <c r="F36" s="33"/>
      <c r="G36" s="33">
        <f>G31+G34</f>
        <v>76.578583999999992</v>
      </c>
      <c r="H36" s="33">
        <f t="shared" si="1"/>
        <v>-4.0300000000000011</v>
      </c>
      <c r="I36" s="34">
        <f t="shared" si="2"/>
        <v>-4.9994675505030596E-2</v>
      </c>
      <c r="J36" s="34">
        <f t="shared" ref="J36" si="8">G36/$G$43</f>
        <v>0.28012171340116754</v>
      </c>
      <c r="K36" s="88">
        <f t="shared" ref="K36" si="9">G36/$G$46</f>
        <v>0.2834668946321009</v>
      </c>
    </row>
    <row r="37" spans="1:11" x14ac:dyDescent="0.2">
      <c r="A37" s="84" t="s">
        <v>28</v>
      </c>
      <c r="B37" s="70">
        <f>B8</f>
        <v>1584.6</v>
      </c>
      <c r="C37" s="32">
        <v>4.4000000000000003E-3</v>
      </c>
      <c r="D37" s="20">
        <f>B37*C37</f>
        <v>6.9722400000000002</v>
      </c>
      <c r="E37" s="70">
        <f t="shared" si="0"/>
        <v>1584.6</v>
      </c>
      <c r="F37" s="32">
        <v>4.4000000000000003E-3</v>
      </c>
      <c r="G37" s="20">
        <f>E37*F37</f>
        <v>6.9722400000000002</v>
      </c>
      <c r="H37" s="20">
        <f t="shared" si="1"/>
        <v>0</v>
      </c>
      <c r="I37" s="21">
        <f t="shared" si="2"/>
        <v>0</v>
      </c>
      <c r="J37" s="21">
        <f t="shared" ref="J37:J43" si="10">G37/$G$43</f>
        <v>2.5504203826022122E-2</v>
      </c>
      <c r="K37" s="85">
        <f>G37/$G$46</f>
        <v>2.5808772089984316E-2</v>
      </c>
    </row>
    <row r="38" spans="1:11" x14ac:dyDescent="0.2">
      <c r="A38" s="84" t="s">
        <v>29</v>
      </c>
      <c r="B38" s="70">
        <f>B8</f>
        <v>1584.6</v>
      </c>
      <c r="C38" s="32">
        <v>1.2999999999999999E-3</v>
      </c>
      <c r="D38" s="20">
        <f>B38*C38</f>
        <v>2.0599799999999999</v>
      </c>
      <c r="E38" s="70">
        <f t="shared" si="0"/>
        <v>1584.6</v>
      </c>
      <c r="F38" s="32">
        <v>1.2999999999999999E-3</v>
      </c>
      <c r="G38" s="20">
        <f>E38*F38</f>
        <v>2.0599799999999999</v>
      </c>
      <c r="H38" s="20">
        <f>G38-D38</f>
        <v>0</v>
      </c>
      <c r="I38" s="21">
        <f t="shared" si="2"/>
        <v>0</v>
      </c>
      <c r="J38" s="21">
        <f t="shared" si="10"/>
        <v>7.535332948597445E-3</v>
      </c>
      <c r="K38" s="85">
        <f>G38/$G$46</f>
        <v>7.6253190265862742E-3</v>
      </c>
    </row>
    <row r="39" spans="1:11" x14ac:dyDescent="0.2">
      <c r="A39" s="84" t="s">
        <v>30</v>
      </c>
      <c r="B39" s="70">
        <v>1</v>
      </c>
      <c r="C39" s="20">
        <v>0.25</v>
      </c>
      <c r="D39" s="20">
        <f>B39*C39</f>
        <v>0.25</v>
      </c>
      <c r="E39" s="70">
        <f t="shared" si="0"/>
        <v>1</v>
      </c>
      <c r="F39" s="20">
        <f>C39</f>
        <v>0.25</v>
      </c>
      <c r="G39" s="20">
        <f>E39*F39</f>
        <v>0.25</v>
      </c>
      <c r="H39" s="20">
        <f t="shared" si="1"/>
        <v>0</v>
      </c>
      <c r="I39" s="21">
        <f t="shared" si="2"/>
        <v>0</v>
      </c>
      <c r="J39" s="21">
        <f t="shared" si="10"/>
        <v>9.1449103250971435E-4</v>
      </c>
      <c r="K39" s="85">
        <f>G39/$G$46</f>
        <v>9.2541177906900484E-4</v>
      </c>
    </row>
    <row r="40" spans="1:11" s="1" customFormat="1" ht="13.5" thickBot="1" x14ac:dyDescent="0.25">
      <c r="A40" s="87" t="s">
        <v>31</v>
      </c>
      <c r="B40" s="71"/>
      <c r="C40" s="33"/>
      <c r="D40" s="33">
        <f>SUM(D37:D39)</f>
        <v>9.2822200000000006</v>
      </c>
      <c r="E40" s="70"/>
      <c r="F40" s="33"/>
      <c r="G40" s="33">
        <f>SUM(G37:G39)</f>
        <v>9.2822200000000006</v>
      </c>
      <c r="H40" s="33">
        <f t="shared" si="1"/>
        <v>0</v>
      </c>
      <c r="I40" s="34">
        <f t="shared" si="2"/>
        <v>0</v>
      </c>
      <c r="J40" s="34">
        <f t="shared" si="10"/>
        <v>3.3954027807129285E-2</v>
      </c>
      <c r="K40" s="88">
        <f>G40/$G$46</f>
        <v>3.4359502895639597E-2</v>
      </c>
    </row>
    <row r="41" spans="1:11" s="1" customFormat="1" x14ac:dyDescent="0.2">
      <c r="A41" s="35" t="s">
        <v>54</v>
      </c>
      <c r="B41" s="36"/>
      <c r="C41" s="37"/>
      <c r="D41" s="37">
        <f>SUM(D14,D26,D27,D28,D34,D40)</f>
        <v>245.95576</v>
      </c>
      <c r="E41" s="36"/>
      <c r="F41" s="37"/>
      <c r="G41" s="37">
        <f>SUM(G14,G26,G27,G28,G34,G40)</f>
        <v>241.92576</v>
      </c>
      <c r="H41" s="37">
        <f t="shared" si="1"/>
        <v>-4.0300000000000011</v>
      </c>
      <c r="I41" s="38">
        <f>IF(ISERROR(H41/D41),0,(H41/D41))</f>
        <v>-1.6385060467784943E-2</v>
      </c>
      <c r="J41" s="38">
        <f t="shared" si="10"/>
        <v>0.88495575221238942</v>
      </c>
      <c r="K41" s="39"/>
    </row>
    <row r="42" spans="1:11" x14ac:dyDescent="0.2">
      <c r="A42" s="40" t="s">
        <v>32</v>
      </c>
      <c r="B42" s="41"/>
      <c r="C42" s="24">
        <v>0.13</v>
      </c>
      <c r="D42" s="24">
        <f>D41*C42</f>
        <v>31.974248800000002</v>
      </c>
      <c r="E42" s="24"/>
      <c r="F42" s="24">
        <f>C42</f>
        <v>0.13</v>
      </c>
      <c r="G42" s="24">
        <f>G41*F42</f>
        <v>31.4503488</v>
      </c>
      <c r="H42" s="24">
        <f t="shared" si="1"/>
        <v>-0.52390000000000114</v>
      </c>
      <c r="I42" s="42">
        <f t="shared" si="2"/>
        <v>-1.6385060467784974E-2</v>
      </c>
      <c r="J42" s="42">
        <f t="shared" si="10"/>
        <v>0.11504424778761062</v>
      </c>
      <c r="K42" s="43"/>
    </row>
    <row r="43" spans="1:11" s="1" customFormat="1" ht="13.5" thickBot="1" x14ac:dyDescent="0.25">
      <c r="A43" s="45" t="s">
        <v>68</v>
      </c>
      <c r="B43" s="46"/>
      <c r="C43" s="47"/>
      <c r="D43" s="47">
        <f>SUM(D41:D42)</f>
        <v>277.9300088</v>
      </c>
      <c r="E43" s="47"/>
      <c r="F43" s="47"/>
      <c r="G43" s="47">
        <f>SUM(G41:G42)</f>
        <v>273.3761088</v>
      </c>
      <c r="H43" s="47">
        <f t="shared" si="1"/>
        <v>-4.5538999999999987</v>
      </c>
      <c r="I43" s="48">
        <f t="shared" si="2"/>
        <v>-1.6385060467784932E-2</v>
      </c>
      <c r="J43" s="48">
        <f t="shared" si="10"/>
        <v>1</v>
      </c>
      <c r="K43" s="49"/>
    </row>
    <row r="44" spans="1:11" x14ac:dyDescent="0.2">
      <c r="A44" s="50" t="s">
        <v>33</v>
      </c>
      <c r="B44" s="51"/>
      <c r="C44" s="52"/>
      <c r="D44" s="52">
        <f>SUM(D18,D26,D27,D29,D34,D40)</f>
        <v>243.10080399999998</v>
      </c>
      <c r="E44" s="52"/>
      <c r="F44" s="52"/>
      <c r="G44" s="52">
        <f>SUM(G18,G26,G27,G29,G34,G40)</f>
        <v>239.07080399999998</v>
      </c>
      <c r="H44" s="52">
        <f>G44-D44</f>
        <v>-4.0300000000000011</v>
      </c>
      <c r="I44" s="53">
        <f>IF(ISERROR(H44/D44),0,(H44/D44))</f>
        <v>-1.6577485280550537E-2</v>
      </c>
      <c r="J44" s="53"/>
      <c r="K44" s="54">
        <f>G44/$G$46</f>
        <v>0.88495575221238942</v>
      </c>
    </row>
    <row r="45" spans="1:11" x14ac:dyDescent="0.2">
      <c r="A45" s="55" t="s">
        <v>32</v>
      </c>
      <c r="B45" s="56"/>
      <c r="C45" s="29">
        <v>0.13</v>
      </c>
      <c r="D45" s="29">
        <f>D44*C45</f>
        <v>31.603104519999999</v>
      </c>
      <c r="E45" s="29"/>
      <c r="F45" s="29">
        <f>C45</f>
        <v>0.13</v>
      </c>
      <c r="G45" s="29">
        <f>G44*F45</f>
        <v>31.079204519999998</v>
      </c>
      <c r="H45" s="29">
        <f>G45-D45</f>
        <v>-0.52390000000000114</v>
      </c>
      <c r="I45" s="30">
        <f>IF(ISERROR(H45/D45),0,(H45/D45))</f>
        <v>-1.6577485280550568E-2</v>
      </c>
      <c r="J45" s="30"/>
      <c r="K45" s="57">
        <f>G45/$G$46</f>
        <v>0.11504424778761062</v>
      </c>
    </row>
    <row r="46" spans="1:11" ht="13.5" thickBot="1" x14ac:dyDescent="0.25">
      <c r="A46" s="60" t="s">
        <v>67</v>
      </c>
      <c r="B46" s="61"/>
      <c r="C46" s="62"/>
      <c r="D46" s="62">
        <f>SUM(D44:D45)</f>
        <v>274.70390851999997</v>
      </c>
      <c r="E46" s="62"/>
      <c r="F46" s="62"/>
      <c r="G46" s="62">
        <f>SUM(G44:G45)</f>
        <v>270.15000851999997</v>
      </c>
      <c r="H46" s="62">
        <f>G46-D46</f>
        <v>-4.5538999999999987</v>
      </c>
      <c r="I46" s="63">
        <f>IF(ISERROR(H46/D46),0,(H46/D46))</f>
        <v>-1.657748528055053E-2</v>
      </c>
      <c r="J46" s="63"/>
      <c r="K46" s="64">
        <f>G46/$G$46</f>
        <v>1</v>
      </c>
    </row>
    <row r="47" spans="1:11" x14ac:dyDescent="0.2">
      <c r="C47" s="65"/>
      <c r="F47" s="66"/>
    </row>
    <row r="48" spans="1:11" x14ac:dyDescent="0.2">
      <c r="F48" s="66"/>
    </row>
    <row r="49" spans="1:6" x14ac:dyDescent="0.2">
      <c r="F49" s="66"/>
    </row>
    <row r="50" spans="1:6" x14ac:dyDescent="0.2">
      <c r="A50" s="67"/>
      <c r="B50" s="68"/>
      <c r="F50" s="66"/>
    </row>
    <row r="51" spans="1:6" x14ac:dyDescent="0.2">
      <c r="B51" s="68"/>
      <c r="F51" s="66"/>
    </row>
    <row r="52" spans="1:6" x14ac:dyDescent="0.2">
      <c r="F52" s="66"/>
    </row>
    <row r="53" spans="1:6" x14ac:dyDescent="0.2">
      <c r="D53" s="69"/>
      <c r="F53" s="66"/>
    </row>
    <row r="54" spans="1:6" x14ac:dyDescent="0.2">
      <c r="F54" s="66"/>
    </row>
    <row r="55" spans="1:6" x14ac:dyDescent="0.2">
      <c r="A55" s="67"/>
      <c r="B55" s="68"/>
      <c r="F55" s="66"/>
    </row>
    <row r="56" spans="1:6" x14ac:dyDescent="0.2">
      <c r="B56" s="69"/>
      <c r="D56" s="69"/>
      <c r="F56" s="66"/>
    </row>
    <row r="57" spans="1:6" x14ac:dyDescent="0.2">
      <c r="F57" s="66"/>
    </row>
    <row r="58" spans="1:6" x14ac:dyDescent="0.2">
      <c r="F58" s="66"/>
    </row>
    <row r="59" spans="1:6" x14ac:dyDescent="0.2">
      <c r="F59" s="66"/>
    </row>
    <row r="60" spans="1:6" x14ac:dyDescent="0.2">
      <c r="F60" s="66"/>
    </row>
    <row r="61" spans="1:6" x14ac:dyDescent="0.2">
      <c r="F61" s="66"/>
    </row>
    <row r="62" spans="1:6" x14ac:dyDescent="0.2">
      <c r="F62" s="66"/>
    </row>
    <row r="63" spans="1:6" x14ac:dyDescent="0.2">
      <c r="F63" s="66"/>
    </row>
  </sheetData>
  <mergeCells count="1">
    <mergeCell ref="A1:K1"/>
  </mergeCells>
  <pageMargins left="0.75" right="0.75" top="0.37" bottom="0.43" header="0.5" footer="0.5"/>
  <pageSetup scale="7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for Bill Impacts'!$A$3:$A$3</xm:f>
          </x14:formula1>
          <xm:sqref>B3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EB-2015-0269</Case_x0020_Number_x002f_Docket_x0020_Number>
    <Issue_x0020_Date xmlns="f9175001-c430-4d57-adde-c1c10539e919">2015-10-28T04:00:00+00:00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Case_x0020_Type xmlns="f9175001-c430-4d57-adde-c1c10539e919">Electricity</Case_x0020_Type>
    <Document_x0020_Type xmlns="f9175001-c430-4d57-adde-c1c10539e919">Correspondence</Document_x0020_Type>
    <RA_x0020_Contact xmlns="31a38067-a042-4e0e-9037-517587b10700">182932 - AC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51F852BDC2DA434A8D0A3B85DA8DE721" ma:contentTypeVersion="16" ma:contentTypeDescription="Meta data that will be applied to all documents added to the proceeding document folder" ma:contentTypeScope="" ma:versionID="f42dcd21f06fd2fc0c41041c245ee4f4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b5d22c74f3ab365580fc72be9d4eb601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>
      <xsd:simpleType>
        <xsd:restriction base="dms:Choice">
          <xsd:enumeration value="Internal Use (Only Internal information is not for release to the public)"/>
          <xsd:enumeration value="Public (Information that is authorized for consumption by the public.)"/>
          <xsd:enumeration value="Trusted (synonymous with previous Confidential Categorization)"/>
          <xsd:enumeration value="Critical (synonymous with previous Secret Categorization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CF03F3-5B8B-4C23-A05A-BA794F0A4C92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31a38067-a042-4e0e-9037-517587b10700"/>
    <ds:schemaRef ds:uri="ea909525-6dd5-47d7-9eed-71e77e5cedc6"/>
    <ds:schemaRef ds:uri="http://purl.org/dc/dcmitype/"/>
    <ds:schemaRef ds:uri="f0af1d65-dfd0-4b99-b523-def3a954563f"/>
    <ds:schemaRef ds:uri="f9175001-c430-4d57-adde-c1c10539e919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A7F8A80-53FF-40FE-8B66-53783F21E8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1AA891-8286-4BC7-A123-AD3C401660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for Bill Impacts</vt:lpstr>
      <vt:lpstr>BI_Res_Low2016</vt:lpstr>
      <vt:lpstr>BI_Res_Avg2016</vt:lpstr>
      <vt:lpstr>BI_Res_High2016</vt:lpstr>
      <vt:lpstr>'Data for Bill Impacts'!Print_Area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Appendix_G_Bill Impacts_2016_Norfolk (Provided to OEB)</dc:title>
  <dc:creator>SHETH Nikita</dc:creator>
  <cp:lastModifiedBy>Erin Henderson</cp:lastModifiedBy>
  <cp:lastPrinted>2015-10-02T15:53:18Z</cp:lastPrinted>
  <dcterms:created xsi:type="dcterms:W3CDTF">2013-09-20T18:49:19Z</dcterms:created>
  <dcterms:modified xsi:type="dcterms:W3CDTF">2015-10-28T18:56:22Z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0x01010061EC7F66509FFD4DA0B1B261A86BE7730051F852BDC2DA434A8D0A3B85DA8DE721</vt:lpwstr>
  </property>
</Properties>
</file>